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queira\Desktop\WEBINAR AGO 2025\"/>
    </mc:Choice>
  </mc:AlternateContent>
  <xr:revisionPtr revIDLastSave="0" documentId="13_ncr:1_{CC6D4644-D676-4184-8794-628E577FBB7F}" xr6:coauthVersionLast="47" xr6:coauthVersionMax="47" xr10:uidLastSave="{00000000-0000-0000-0000-000000000000}"/>
  <bookViews>
    <workbookView xWindow="-120" yWindow="-120" windowWidth="20730" windowHeight="11160" firstSheet="2" activeTab="2" xr2:uid="{07EAAC74-FCB0-40E3-A2F8-609489AEC5CA}"/>
  </bookViews>
  <sheets>
    <sheet name="Planilha1" sheetId="1" state="hidden" r:id="rId1"/>
    <sheet name="Planilha2" sheetId="2" state="hidden" r:id="rId2"/>
    <sheet name="CALCULADORA DE ROI" sheetId="4" r:id="rId3"/>
  </sheets>
  <definedNames>
    <definedName name="_xlnm._FilterDatabase" localSheetId="0" hidden="1">Planilha1!$C$3:$C$60</definedName>
    <definedName name="_xlnm._FilterDatabase" localSheetId="1" hidden="1">Planilha2!$A$1:$G$6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4" l="1"/>
  <c r="H6" i="4" l="1"/>
  <c r="H5" i="4"/>
  <c r="I25" i="1"/>
  <c r="J48" i="1"/>
  <c r="H40" i="4"/>
  <c r="H38" i="4"/>
  <c r="C53" i="2"/>
  <c r="C52" i="2"/>
  <c r="C51" i="2"/>
  <c r="C50" i="2"/>
  <c r="C48" i="2"/>
  <c r="C47" i="2"/>
  <c r="C49" i="2"/>
  <c r="C46" i="2"/>
  <c r="H27" i="4"/>
  <c r="H26" i="4"/>
  <c r="C40" i="2"/>
  <c r="C39" i="2"/>
  <c r="C35" i="2"/>
  <c r="H19" i="4"/>
  <c r="H18" i="4"/>
  <c r="H17" i="4"/>
  <c r="C30" i="2"/>
  <c r="C27" i="2"/>
  <c r="C26" i="2"/>
  <c r="C23" i="2"/>
  <c r="H12" i="4"/>
  <c r="H10" i="4"/>
  <c r="H8" i="4"/>
  <c r="C14" i="2"/>
  <c r="H7" i="4"/>
  <c r="H22" i="4" s="1"/>
  <c r="C11" i="2"/>
  <c r="C10" i="2"/>
  <c r="C9" i="2"/>
  <c r="C38" i="2"/>
  <c r="C61" i="2"/>
  <c r="C62" i="2" s="1"/>
  <c r="C45" i="2"/>
  <c r="C56" i="2"/>
  <c r="C31" i="2"/>
  <c r="C32" i="2"/>
  <c r="C22" i="2"/>
  <c r="C18" i="2"/>
  <c r="H43" i="1"/>
  <c r="E59" i="1"/>
  <c r="H28" i="4" l="1"/>
  <c r="H41" i="4"/>
  <c r="H13" i="4"/>
  <c r="H20" i="4"/>
  <c r="H9" i="4"/>
  <c r="H11" i="4"/>
  <c r="C63" i="2"/>
  <c r="C64" i="2" s="1"/>
  <c r="C65" i="2" s="1"/>
  <c r="C15" i="2"/>
  <c r="C19" i="2"/>
  <c r="E43" i="1"/>
  <c r="E44" i="1" s="1"/>
  <c r="E46" i="1" s="1"/>
  <c r="E47" i="1" s="1"/>
  <c r="E41" i="1"/>
  <c r="E42" i="1"/>
  <c r="E6" i="1"/>
  <c r="E28" i="1"/>
  <c r="E5" i="1"/>
  <c r="E32" i="1" s="1"/>
  <c r="J32" i="1" s="1"/>
  <c r="E31" i="1"/>
  <c r="J37" i="1"/>
  <c r="E30" i="1"/>
  <c r="E29" i="1"/>
  <c r="J25" i="1"/>
  <c r="E20" i="1"/>
  <c r="E22" i="1" s="1"/>
  <c r="E15" i="1"/>
  <c r="E10" i="1"/>
  <c r="J11" i="1" s="1"/>
  <c r="E56" i="1"/>
  <c r="E58" i="1" s="1"/>
  <c r="I60" i="1" s="1"/>
  <c r="J60" i="1" s="1"/>
  <c r="H29" i="4" l="1"/>
  <c r="H31" i="4" s="1"/>
  <c r="H14" i="4"/>
  <c r="H42" i="4"/>
  <c r="H23" i="4"/>
  <c r="E48" i="1"/>
  <c r="E45" i="1"/>
  <c r="E49" i="1" s="1"/>
  <c r="J16" i="1"/>
  <c r="I64" i="1" s="1"/>
  <c r="H30" i="4" l="1"/>
  <c r="H35" i="4" s="1"/>
  <c r="H43" i="4"/>
  <c r="H32" i="4"/>
  <c r="H15" i="4"/>
  <c r="H16" i="4" s="1"/>
  <c r="H47" i="4" s="1"/>
  <c r="E50" i="1"/>
  <c r="E51" i="1" s="1"/>
  <c r="H33" i="4" l="1"/>
  <c r="H34" i="4" s="1"/>
  <c r="H36" i="4"/>
  <c r="J51" i="1"/>
  <c r="I65" i="1" s="1"/>
  <c r="H37" i="4" l="1"/>
  <c r="H49" i="4" s="1"/>
  <c r="J64" i="1"/>
  <c r="H48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Alexandre Siqueira CH Master Data</author>
    <author>Alexandre Siqueira</author>
    <author>User</author>
  </authors>
  <commentList>
    <comment ref="D4" authorId="0" shapeId="0" xr:uid="{C4280A3D-4661-4969-8719-338BF4E02637}">
      <text>
        <r>
          <rPr>
            <b/>
            <sz val="9"/>
            <color indexed="81"/>
            <rFont val="Segoe UI"/>
            <family val="2"/>
          </rPr>
          <t>CH Master Data: Insira aqui os dados de sua empresa, para calcular o ROI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5" authorId="1" shapeId="0" xr:uid="{2AFADC9A-FFDC-411A-9E56-806C0FECD8F9}">
      <text>
        <r>
          <rPr>
            <sz val="11"/>
            <color theme="1"/>
            <rFont val="Calibri"/>
            <family val="2"/>
            <scheme val="minor"/>
          </rPr>
          <t>SANEAMENTO DE CADASTROS</t>
        </r>
      </text>
    </comment>
    <comment ref="G7" authorId="2" shapeId="0" xr:uid="{30614456-1649-429E-AE7B-E55AC1EE0B34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Valor médio por item na base, adotado mediana para trabalho acadêmico.</t>
        </r>
      </text>
    </comment>
    <comment ref="B9" authorId="1" shapeId="0" xr:uid="{CED00B86-750F-4F35-A133-1136D9767967}">
      <text>
        <r>
          <rPr>
            <sz val="9"/>
            <color indexed="81"/>
            <rFont val="Segoe UI"/>
            <charset val="1"/>
          </rPr>
          <t>GOVERNANÇA DE CADASTROS OU CENTRAL DE CRIAÇÃO DOS NOVOS ITENS</t>
        </r>
      </text>
    </comment>
    <comment ref="G9" authorId="2" shapeId="0" xr:uid="{BE25A396-FA9F-4AC2-A9F9-F1A11CA116A4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Envolve estoques duplicados, tratamento duplicado de compras, área física, índice de obsolescência.</t>
        </r>
      </text>
    </comment>
    <comment ref="G11" authorId="2" shapeId="0" xr:uid="{04BA2322-8290-4D00-81D9-206463B74684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Envolve área de armazenagem, degeneração de material no físico.</t>
        </r>
      </text>
    </comment>
    <comment ref="G13" authorId="2" shapeId="0" xr:uid="{7BB4C3C2-C752-4863-B221-7830D9599643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Envolve informações já existentes na comunidade CH e levantamentos no físico do cliente para identificar o item.</t>
        </r>
      </text>
    </comment>
    <comment ref="G17" authorId="2" shapeId="0" xr:uid="{304676CA-2E10-46CC-9246-E59712D8608E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Acrescimo de informações e padronização para atender aos requisitos do PDM</t>
        </r>
      </text>
    </comment>
    <comment ref="G18" authorId="2" shapeId="0" xr:uid="{A51D4586-8BE2-489B-8BBC-F5D39B1CD35C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Itens com alta indução de compra errada - impacto no tempo de atendimento, devoluções, stress com o fornecedor, tempo do comprador, almoxarifado e fiscal no processo</t>
        </r>
      </text>
    </comment>
    <comment ref="C19" authorId="2" shapeId="0" xr:uid="{C3C4DE5B-BF3B-4D98-AE6E-FA2BD75358DB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Fonte Ariba. Potencial de 1,5% de desconto com até 6 fornecedores</t>
        </r>
      </text>
    </comment>
    <comment ref="G19" authorId="2" shapeId="0" xr:uid="{E25218F2-CF94-40D2-80DA-78ACF6627592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Quanto maior o número de fabricantes e referencias estiverem associados mais ampliada fica a oportunidade de redução TCO. 1,5% de redução por fornecedor para até 6 fornecedores = 9% potencial de redução</t>
        </r>
      </text>
    </comment>
    <comment ref="G20" authorId="2" shapeId="0" xr:uid="{E2D2A5C2-E650-4AB5-A307-2E71E9382D6A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Cada marca homologada permite alcança 1,5% de redução limitado a 6 fornecedores - adotado 2 com 3% de redução continua</t>
        </r>
      </text>
    </comment>
    <comment ref="G23" authorId="2" shapeId="0" xr:uid="{A76C8D42-7BA1-447C-BB79-D108F9672F61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Envolve tempo de atendimento à operação, tempo comprador, almoxarifado, fiscal, frete, stress com o fornecedor</t>
        </r>
      </text>
    </comment>
    <comment ref="G28" authorId="2" shapeId="0" xr:uid="{9D8D70DD-BBE8-48D6-BC03-A074C2776013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80% dos PDM´s tem o Fabricante e Referencia como obrigatório</t>
        </r>
      </text>
    </comment>
    <comment ref="G32" authorId="2" shapeId="0" xr:uid="{F797A9CE-82D4-4BC3-914F-DA6DC77D9AF5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Cada marca homologada permite alcança 1,5% de redução limitado a 6 fornecedores - adotado 2 com 3% de redução continua</t>
        </r>
      </text>
    </comment>
    <comment ref="G34" authorId="2" shapeId="0" xr:uid="{61E891A9-314A-45F3-972E-D60F8221AF04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Economia da diferença entre o valor gasto comprando do Fabricante x comprando do Mercado</t>
        </r>
      </text>
    </comment>
    <comment ref="G42" authorId="2" shapeId="0" xr:uid="{1E9651D8-8C80-43BB-9AEF-64234AC04F68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Pesquisa de mercado, atualizações, qualificação de fornecedores, negociação</t>
        </r>
      </text>
    </comment>
    <comment ref="H46" authorId="0" shapeId="0" xr:uid="{FCA1EF60-6E80-494E-AD66-D07555FAEE8A}">
      <text>
        <r>
          <rPr>
            <b/>
            <sz val="9"/>
            <color indexed="81"/>
            <rFont val="Segoe UI"/>
            <family val="2"/>
          </rPr>
          <t>Alexandre Siqueira CH Master Data:</t>
        </r>
        <r>
          <rPr>
            <sz val="9"/>
            <color indexed="81"/>
            <rFont val="Segoe UI"/>
            <family val="2"/>
          </rPr>
          <t xml:space="preserve">
ROI</t>
        </r>
      </text>
    </comment>
  </commentList>
</comments>
</file>

<file path=xl/sharedStrings.xml><?xml version="1.0" encoding="utf-8"?>
<sst xmlns="http://schemas.openxmlformats.org/spreadsheetml/2006/main" count="433" uniqueCount="169">
  <si>
    <t>ITEM</t>
  </si>
  <si>
    <r>
      <t xml:space="preserve">BENEFÍCIO </t>
    </r>
    <r>
      <rPr>
        <b/>
        <sz val="14"/>
        <rFont val="Calibri"/>
        <family val="2"/>
        <scheme val="minor"/>
      </rPr>
      <t>S</t>
    </r>
    <r>
      <rPr>
        <b/>
        <sz val="8"/>
        <rFont val="Calibri"/>
        <family val="2"/>
        <scheme val="minor"/>
      </rPr>
      <t xml:space="preserve">ANEAMENTO / </t>
    </r>
    <r>
      <rPr>
        <b/>
        <sz val="14"/>
        <rFont val="Calibri"/>
        <family val="2"/>
        <scheme val="minor"/>
      </rPr>
      <t>G</t>
    </r>
    <r>
      <rPr>
        <b/>
        <sz val="8"/>
        <rFont val="Calibri"/>
        <family val="2"/>
        <scheme val="minor"/>
      </rPr>
      <t>OVERNANÇA</t>
    </r>
  </si>
  <si>
    <t>RACIONAL</t>
  </si>
  <si>
    <t>DADOS</t>
  </si>
  <si>
    <t>LCC</t>
  </si>
  <si>
    <t>Wrench Time</t>
  </si>
  <si>
    <t>Referencia de mercado</t>
  </si>
  <si>
    <t>ECONOMIA MENSAL</t>
  </si>
  <si>
    <t>ECONOMIA PRIMEIROS 12 MESES</t>
  </si>
  <si>
    <t>OBS</t>
  </si>
  <si>
    <t xml:space="preserve">BASE PARA SANEAMENTO </t>
  </si>
  <si>
    <t>Total de Itens Selecionados para o Saneamento</t>
  </si>
  <si>
    <t>S</t>
  </si>
  <si>
    <t>Parte da base total selecionada por um corte para itens com movimentação em até 12 meses por exemplo (12, 24 ou 36 meses)</t>
  </si>
  <si>
    <t>Valor em estoque para o total de itens selecionados</t>
  </si>
  <si>
    <t>Valor médio anual de Compras para os itens selecionados / ano</t>
  </si>
  <si>
    <t>30% do valor do estoque</t>
  </si>
  <si>
    <t>Quantidade de Requisições de Compras para itens selecionados / ano</t>
  </si>
  <si>
    <t>30% de itens comprados X 2 compras ano</t>
  </si>
  <si>
    <t>Cálculo para média de valor por item R$ 8 mihões/12mil itens</t>
  </si>
  <si>
    <t>Valor médio por item na base, adotado mediana para trabalho acadêmico</t>
  </si>
  <si>
    <t>DUPLICIDADES - MULTIPLICIDADES DE ITENS NA BASE</t>
  </si>
  <si>
    <t>Previsão para duplicidades (7%)</t>
  </si>
  <si>
    <t>Média CH</t>
  </si>
  <si>
    <t>Projeção dos valores envolvidos com duplicidades</t>
  </si>
  <si>
    <t>Valor estoque / base, X (vezes) previsão das duplicidades</t>
  </si>
  <si>
    <t>Envolve estoques duplicados, tratamento duplicado de compras, área física, índice de obsolescência</t>
  </si>
  <si>
    <t>OBSOLETOS E INATIVOS IDENTIFICADOS NO SANEAMENTO</t>
  </si>
  <si>
    <t>Média de itens identificados como obsoletos ou inativos</t>
  </si>
  <si>
    <t>Total de itens identificados como obsoletos ou inativos</t>
  </si>
  <si>
    <t>Projeção valores itens identificados como obsoletos ou inativos</t>
  </si>
  <si>
    <t>Envole área de armazenagem, degeneração de material no físico</t>
  </si>
  <si>
    <t>CONVERSÃO DE ITENS ESPECÍFICOS CONVERTIDOS EM COMERCIAIS</t>
  </si>
  <si>
    <t>Itens comprados de fabricantes de equipamentos que poderão ser comprados no mercado aberto</t>
  </si>
  <si>
    <t>Projeção percentual específicos existentes na base (Industria)</t>
  </si>
  <si>
    <t>Projeção de itens específicos (spare parts) existentes na base</t>
  </si>
  <si>
    <t xml:space="preserve">Percentual de itens convertidos de específico para comercial </t>
  </si>
  <si>
    <t>Envolve informações já existentes na comunidade CH e levantamentos no físico do cliente para identificar o item</t>
  </si>
  <si>
    <t xml:space="preserve">Projeção de itens convertidos de específico para comercial </t>
  </si>
  <si>
    <t>Valor de compra anual para itens convertidos</t>
  </si>
  <si>
    <t>G</t>
  </si>
  <si>
    <t>Empírico</t>
  </si>
  <si>
    <t xml:space="preserve">Média de redução no valor pago para os itens convertidos (número vezes) </t>
  </si>
  <si>
    <t>Fonte Ariba</t>
  </si>
  <si>
    <t>Projeção do novo valor ano  para desembolso de itens convertidos</t>
  </si>
  <si>
    <t xml:space="preserve">Gasto previsto anual / por 1/6 do valor anual </t>
  </si>
  <si>
    <t>Fonte Ariba. Potencial de 1,5% de desconto com até 6 fornecedores</t>
  </si>
  <si>
    <t>MELHORIA DA QUALIDADE DA INFORMAÇÃO NO SANEAMENTO</t>
  </si>
  <si>
    <t>Bases a ser trabalhada</t>
  </si>
  <si>
    <t>Média de itens que terão incremento de dados nas descrições (85%)</t>
  </si>
  <si>
    <t>Acrescimo de informações e padronização para atender aos requisitos do PDM</t>
  </si>
  <si>
    <t>Média de itens com erros graves na descrição corrigidos (3%)</t>
  </si>
  <si>
    <t>Itens com alta indução de compra errada - impacto no tempo de atendimento, devoluções, stress com o fornecedor, tempo do comprador, almoxarifado e fiscal no processo</t>
  </si>
  <si>
    <t>Média de itens que serão associados a mais de 1 fabricante e referencia (25%)</t>
  </si>
  <si>
    <t>Quanto maior o número de fabricantes e referencias estiverem associados mais ampliada fica a oportunidade de redução TCO. 1,5% de redução por fornecedor para até 6 fornecedores = 9% potencial de redução</t>
  </si>
  <si>
    <t>Valor referente ao benefício de ter mais de uma marca homologada ao item</t>
  </si>
  <si>
    <t>Previsto economia de 3% sobre o valor das compras/ano</t>
  </si>
  <si>
    <t>Cada marca homologada permite alcança 1,5% de redução limitado a 6 fornecedores - adotado 2 com 3% de redução continua</t>
  </si>
  <si>
    <t xml:space="preserve">REDUÇÃO NO NÚMERO DE DEVOLUÇÕES DE MATERIAIS </t>
  </si>
  <si>
    <t>Com as descrições corrigidas e padronizadas a devoluções por erro de descrição serão eliminadas</t>
  </si>
  <si>
    <t>Redução nos casos de devolução por erro na descrição / mês</t>
  </si>
  <si>
    <t>Projeção valores itens devolvidos por erro na descrição</t>
  </si>
  <si>
    <t>Valor dos itens devolvidos / Mês</t>
  </si>
  <si>
    <t>Envolve tempo de atendimento à operação, tempo comprador, almoxarifado, fiscal, frete, stress com o fornecedor</t>
  </si>
  <si>
    <t>MELHORIA DA QUALIDADE DA INFORMAÇÃO NA GOVERNANÇA</t>
  </si>
  <si>
    <t>Quantidade novos cadastros / mês</t>
  </si>
  <si>
    <t>Quantidade de itens com descrições conforme o PDM - 100%</t>
  </si>
  <si>
    <t>Média de itens com erros graves na descrição corrigidos (ZERO)</t>
  </si>
  <si>
    <t>Média de itens que serão associados a pelo menos 1 fabricante e referencia (80%)</t>
  </si>
  <si>
    <t>80% dos PDM´s tem o Fabricante e Referencia como obrigatório</t>
  </si>
  <si>
    <t>Média de itens específicos</t>
  </si>
  <si>
    <t>Média de itens comerciais</t>
  </si>
  <si>
    <t>Média de itens específicos comprados como comerciais (25%)</t>
  </si>
  <si>
    <t>Projeção de valores para itens específicos comprados como comercial</t>
  </si>
  <si>
    <t>Considerado 2 compras ano</t>
  </si>
  <si>
    <t>Projeção economia com compra de itens específicos como comerciais (1/6 do valor)</t>
  </si>
  <si>
    <t>Economia da diferença entre o valor gasto comprando do Fabricante x comprando do Mercado</t>
  </si>
  <si>
    <t>Média de itens comerciais com mais de um fabricante homologado</t>
  </si>
  <si>
    <t>Projeção de valores de compra para itens com mais de um fabricante homologado</t>
  </si>
  <si>
    <t>Projeção economia na compra de itens com mais de um fabricante (3%)</t>
  </si>
  <si>
    <t>TEMPO DO TIME DE COMPRAS</t>
  </si>
  <si>
    <t>Número de Compradores Alocados para itens Indiretos</t>
  </si>
  <si>
    <t>Total Horas de Trabalho</t>
  </si>
  <si>
    <t>Total Geral Time de Compras Indiretos</t>
  </si>
  <si>
    <t>Tempo aplicado para melhoria das especificações</t>
  </si>
  <si>
    <t>Horas economizadas após o projeto disponíveis para outras atividades</t>
  </si>
  <si>
    <t>Pesquisa de mercado, atualizações, qualificação de fornecedores, negociação</t>
  </si>
  <si>
    <t>Valor Médio h/h com encargos (Considerado custo mensal de R$ 9.000,00)</t>
  </si>
  <si>
    <t>Economia Mensal em horas disponíveis para outras atividades</t>
  </si>
  <si>
    <t>TOTAL ECONOMIA PROJETADA PARA 12 MESES</t>
  </si>
  <si>
    <t>ECONOMIA SANEAMENTO</t>
  </si>
  <si>
    <t>ECONOMIA GOVERNANÇA</t>
  </si>
  <si>
    <t>Tempo economizado do analista de estoque</t>
  </si>
  <si>
    <t xml:space="preserve">Gerar spend analisys mais rapido </t>
  </si>
  <si>
    <t>Catalogos de Compras</t>
  </si>
  <si>
    <t>Evitar compras repetidas</t>
  </si>
  <si>
    <t>PREENCHIMENTO</t>
  </si>
  <si>
    <t>MÉTRICA</t>
  </si>
  <si>
    <t>VALOR</t>
  </si>
  <si>
    <t>OBSERVAÇÃO</t>
  </si>
  <si>
    <t>Qual a quantidade de itens que deseja sanear?</t>
  </si>
  <si>
    <t>Cliente</t>
  </si>
  <si>
    <t>Qual o valor TOTAL estimado dessa base?</t>
  </si>
  <si>
    <t>Qual a porcentagem desse valor que é comprada no ano? (Exemplo: Do total acima, é comprado anualmente, 30% da base a sanear)</t>
  </si>
  <si>
    <t>Dessa porcentagem, é comprado mais de uma vez? Se sim, até quantas vezes?</t>
  </si>
  <si>
    <t>Resultados</t>
  </si>
  <si>
    <t>Valores</t>
  </si>
  <si>
    <t>Valor médio anual de compras no ano</t>
  </si>
  <si>
    <t>Automático</t>
  </si>
  <si>
    <t>Quantidade de requisições de compras para itens selecionados no ano</t>
  </si>
  <si>
    <t>Custo médio por produto (Valor TOTAL estimado / Itens a sanear)</t>
  </si>
  <si>
    <r>
      <t xml:space="preserve">Previsão para duplicidades </t>
    </r>
    <r>
      <rPr>
        <sz val="11"/>
        <color rgb="FFFF0000"/>
        <rFont val="Calibri"/>
        <family val="2"/>
        <scheme val="minor"/>
      </rPr>
      <t>(7%)</t>
    </r>
  </si>
  <si>
    <t>Métrica CH</t>
  </si>
  <si>
    <r>
      <t>Total de itens identificados como obsoletos ou inativos</t>
    </r>
    <r>
      <rPr>
        <sz val="11"/>
        <color rgb="FFFF0000"/>
        <rFont val="Calibri"/>
        <family val="2"/>
        <scheme val="minor"/>
      </rPr>
      <t xml:space="preserve"> (2%)</t>
    </r>
  </si>
  <si>
    <t>Envolve área de armazenagem, degeneração de material no físico</t>
  </si>
  <si>
    <t>Quantidade de itens cadastrados como específicos (Spare Parts/OEM) existentes na base.</t>
  </si>
  <si>
    <t>Projeção de itens convertidos de específico para comercial. (OEM ---&gt; Item de Mercado)</t>
  </si>
  <si>
    <r>
      <t xml:space="preserve">Projeção do novo valor de compra para itens convertidos. (Fonte Ariba: Itens convertidos tem chance de serem comprados com redução em até </t>
    </r>
    <r>
      <rPr>
        <sz val="11"/>
        <color rgb="FFFF0000"/>
        <rFont val="Calibri"/>
        <family val="2"/>
        <scheme val="minor"/>
      </rPr>
      <t>6x</t>
    </r>
    <r>
      <rPr>
        <sz val="11"/>
        <rFont val="Calibri"/>
        <family val="2"/>
        <scheme val="minor"/>
      </rPr>
      <t xml:space="preserve"> o valor)</t>
    </r>
  </si>
  <si>
    <t>Métrica ARIBA</t>
  </si>
  <si>
    <t>Redução nos casos de devolução por erro na descrição / Mês</t>
  </si>
  <si>
    <t>Projeção valores itens devolvidos por erro na descrição / Mês</t>
  </si>
  <si>
    <t>Projeção valores itens devolvidos por erro na descrição / Anual</t>
  </si>
  <si>
    <t>Qual a quantidade de itens que são cadastrados por mês?</t>
  </si>
  <si>
    <t>É comprado o mesmo material mais de uma vez ao ano? Se sim, qual a média?</t>
  </si>
  <si>
    <t>Média de itens específicos convertidos para comerciais (25%)</t>
  </si>
  <si>
    <t>Quantos compradores estão Alocados para itens Indiretos?</t>
  </si>
  <si>
    <t>Total Horas de Trabalho / Mês</t>
  </si>
  <si>
    <t>Vl Mês Colaborador</t>
  </si>
  <si>
    <t>Total Geral Time de Compras Indiretos / Mês</t>
  </si>
  <si>
    <t>Métrica Mercado</t>
  </si>
  <si>
    <t>Horas economizadas após o projeto disponíveis para outras atividades (Tempo aplicado para melhoria das especificações (10%))</t>
  </si>
  <si>
    <t>S/G</t>
  </si>
  <si>
    <t>VALORES</t>
  </si>
  <si>
    <t>SAN</t>
  </si>
  <si>
    <t>Quantidade de requisições de compras para itens selecionados no ano.</t>
  </si>
  <si>
    <t>Qual a porcentagem desse valor que é comprada no ano? (Exemplo: Do total acima, é comprado anualmente, 30%)</t>
  </si>
  <si>
    <t xml:space="preserve">Previsão e eliminação das duplicidades </t>
  </si>
  <si>
    <t>GOV</t>
  </si>
  <si>
    <t>ECONOMIA</t>
  </si>
  <si>
    <t>COMPRAS</t>
  </si>
  <si>
    <t>Qual o valor médio do custo mensal, considerando os encargos de cada colaborador do time de compras.</t>
  </si>
  <si>
    <t>Previsão para duplicidades - histórico CH Masterdata</t>
  </si>
  <si>
    <t>Valor de compra anual para itens convertidos - O novo Valor</t>
  </si>
  <si>
    <t>Projeção do novo valor de compra para itens convertidos.</t>
  </si>
  <si>
    <t>Valor mensal economizado com compra conversão de itens especificos</t>
  </si>
  <si>
    <r>
      <rPr>
        <sz val="11"/>
        <color rgb="FF000000"/>
        <rFont val="OUTFIT"/>
      </rPr>
      <t>Total de itens identificados como obsoletos ou inativos</t>
    </r>
    <r>
      <rPr>
        <sz val="11"/>
        <color rgb="FFFF0000"/>
        <rFont val="OUTFIT"/>
      </rPr>
      <t xml:space="preserve"> </t>
    </r>
  </si>
  <si>
    <r>
      <t xml:space="preserve">Projeção do novo valor de compra para itens convertidos. (Fonte Ariba: Itens convertidos tem chance de serem comprados com redução em até </t>
    </r>
    <r>
      <rPr>
        <sz val="11"/>
        <color rgb="FFFF0000"/>
        <rFont val="OUTFIT"/>
      </rPr>
      <t>6x</t>
    </r>
    <r>
      <rPr>
        <sz val="11"/>
        <rFont val="OUTFIT"/>
      </rPr>
      <t xml:space="preserve"> o valor)</t>
    </r>
  </si>
  <si>
    <r>
      <t xml:space="preserve">Média de itens que terão incremento de dados nas descrições </t>
    </r>
    <r>
      <rPr>
        <sz val="11"/>
        <color rgb="FFFF0000"/>
        <rFont val="OUTFIT"/>
      </rPr>
      <t>(85%)</t>
    </r>
  </si>
  <si>
    <r>
      <t xml:space="preserve">Média de itens com erros graves na descrição corrigidos </t>
    </r>
    <r>
      <rPr>
        <sz val="11"/>
        <color rgb="FFFF0000"/>
        <rFont val="OUTFIT"/>
      </rPr>
      <t>(3%)</t>
    </r>
  </si>
  <si>
    <r>
      <t xml:space="preserve">Média de itens que serão associados a mais de 1 fabricante e referencia </t>
    </r>
    <r>
      <rPr>
        <sz val="11"/>
        <color rgb="FFFF0000"/>
        <rFont val="OUTFIT"/>
      </rPr>
      <t>(25%)</t>
    </r>
  </si>
  <si>
    <r>
      <t>Média de itens que serão associados a pelo menos 1 fabricante e referencia</t>
    </r>
    <r>
      <rPr>
        <sz val="11"/>
        <color rgb="FFFF0000"/>
        <rFont val="OUTFIT"/>
      </rPr>
      <t xml:space="preserve"> (80%)</t>
    </r>
  </si>
  <si>
    <r>
      <t>Média de itens específicos</t>
    </r>
    <r>
      <rPr>
        <sz val="11"/>
        <color rgb="FFFF0000"/>
        <rFont val="OUTFIT"/>
      </rPr>
      <t xml:space="preserve"> (40%)</t>
    </r>
  </si>
  <si>
    <r>
      <t>Média de itens comerciais</t>
    </r>
    <r>
      <rPr>
        <sz val="11"/>
        <color rgb="FFFF0000"/>
        <rFont val="OUTFIT"/>
      </rPr>
      <t xml:space="preserve"> (60%)</t>
    </r>
  </si>
  <si>
    <r>
      <t xml:space="preserve">Média de itens específicos convertidos para comerciais </t>
    </r>
    <r>
      <rPr>
        <sz val="11"/>
        <color rgb="FFFF0000"/>
        <rFont val="OUTFIT"/>
      </rPr>
      <t>(25%)</t>
    </r>
  </si>
  <si>
    <r>
      <t xml:space="preserve">Projeção economia com compra de itens específicos como comerciais </t>
    </r>
    <r>
      <rPr>
        <sz val="11"/>
        <color rgb="FFFF0000"/>
        <rFont val="OUTFIT"/>
      </rPr>
      <t>(1/6 do valor)</t>
    </r>
  </si>
  <si>
    <r>
      <t xml:space="preserve">Projeção economia na compra de itens com mais de um fabricante </t>
    </r>
    <r>
      <rPr>
        <sz val="11"/>
        <color rgb="FFFF0000"/>
        <rFont val="OUTFIT"/>
      </rPr>
      <t>(3%)</t>
    </r>
  </si>
  <si>
    <r>
      <t xml:space="preserve">Horas economizadas após o projeto disponíveis para outras atividades (Tempo aplicado para melhoria das especificações </t>
    </r>
    <r>
      <rPr>
        <sz val="11"/>
        <color rgb="FFFF0000"/>
        <rFont val="OUTFIT"/>
      </rPr>
      <t>(10%)</t>
    </r>
    <r>
      <rPr>
        <sz val="11"/>
        <rFont val="OUTFIT"/>
      </rPr>
      <t>)</t>
    </r>
  </si>
  <si>
    <t>RETORNO DE INVESTIMENTO PARA PROJETOS CH MASTER DATA</t>
  </si>
  <si>
    <t xml:space="preserve">RESUMO DAS ECONOMIAS GERADAS </t>
  </si>
  <si>
    <t>MÉTRICAS DE PREENCHIMENTO PELO CLIENTE</t>
  </si>
  <si>
    <t>Observação: uso exclusivo para Projetos realizados com as plataformas Webformat e Webforlink, de propriedade da CH|ASTREIN Master Data</t>
  </si>
  <si>
    <t>CALCULADORA DE SANEAMENTO DE CADASTROS CH | ASTREIN</t>
  </si>
  <si>
    <t xml:space="preserve">CALCULADORA DA GOVERNANÇA  CH | ASTREIN MASTER DATA </t>
  </si>
  <si>
    <t>MÉTRICAS ROI PADRÕES DE CLIENTES  CH | ASTREIN</t>
  </si>
  <si>
    <t>PLANILHA DE CÁLCULO DE RETORNO DE INVESTIMENTO - CH | ASTREIN MASTER DATA - 2025</t>
  </si>
  <si>
    <t>ECONOMIA GOVERNANÇA (ANUAL)</t>
  </si>
  <si>
    <t>ECONOMIA GOVERNANÇA (MENSAL)</t>
  </si>
  <si>
    <t>ECONOMIA SANEAMENTO DA BASE</t>
  </si>
  <si>
    <t>ECONOMIAS em R$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</si>
</sst>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R$&quot;\ #,##0;[Red]\-&quot;R$&quot;\ #,##0"/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#,##0_ ;[Red]\-#,##0\ "/>
    <numFmt numFmtId="165" formatCode="_-* #,##0_-;\-* #,##0_-;_-* &quot;-&quot;??_-;_-@_-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charset val="1"/>
    </font>
    <font>
      <sz val="11"/>
      <color theme="1"/>
      <name val="OUTFIT"/>
    </font>
    <font>
      <b/>
      <sz val="11"/>
      <color theme="1"/>
      <name val="OUTFIT"/>
    </font>
    <font>
      <sz val="11"/>
      <name val="OUTFIT"/>
    </font>
    <font>
      <b/>
      <sz val="11"/>
      <name val="OUTFIT"/>
    </font>
    <font>
      <b/>
      <sz val="11"/>
      <color rgb="FFFF0000"/>
      <name val="OUTFIT"/>
    </font>
    <font>
      <sz val="11"/>
      <color rgb="FF000000"/>
      <name val="OUTFIT"/>
    </font>
    <font>
      <sz val="11"/>
      <color rgb="FFFF0000"/>
      <name val="OUTFIT"/>
    </font>
    <font>
      <b/>
      <sz val="8"/>
      <color theme="1"/>
      <name val="OUTFIT"/>
    </font>
    <font>
      <b/>
      <sz val="14"/>
      <color rgb="FF0000FF"/>
      <name val="OUTFIT"/>
    </font>
    <font>
      <sz val="10"/>
      <color theme="1"/>
      <name val="OUTFIT"/>
    </font>
    <font>
      <b/>
      <sz val="16"/>
      <color theme="1"/>
      <name val="OUTFIT"/>
    </font>
    <font>
      <b/>
      <sz val="16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44" fontId="5" fillId="0" borderId="0" xfId="1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44" fontId="0" fillId="0" borderId="0" xfId="0" applyNumberFormat="1"/>
    <xf numFmtId="44" fontId="2" fillId="0" borderId="0" xfId="0" applyNumberFormat="1" applyFont="1"/>
    <xf numFmtId="0" fontId="2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44" fontId="2" fillId="0" borderId="0" xfId="1" applyFont="1" applyFill="1"/>
    <xf numFmtId="0" fontId="2" fillId="7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9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wrapText="1"/>
    </xf>
    <xf numFmtId="3" fontId="0" fillId="0" borderId="0" xfId="0" applyNumberFormat="1"/>
    <xf numFmtId="44" fontId="0" fillId="0" borderId="0" xfId="1" applyFont="1" applyFill="1" applyBorder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0" fontId="7" fillId="0" borderId="0" xfId="0" applyFont="1"/>
    <xf numFmtId="44" fontId="2" fillId="0" borderId="0" xfId="1" applyFont="1" applyFill="1" applyBorder="1"/>
    <xf numFmtId="0" fontId="0" fillId="2" borderId="0" xfId="0" applyFill="1"/>
    <xf numFmtId="0" fontId="5" fillId="2" borderId="1" xfId="0" applyFont="1" applyFill="1" applyBorder="1" applyAlignment="1">
      <alignment horizontal="left"/>
    </xf>
    <xf numFmtId="0" fontId="8" fillId="0" borderId="0" xfId="0" applyFont="1"/>
    <xf numFmtId="9" fontId="0" fillId="0" borderId="0" xfId="0" applyNumberFormat="1"/>
    <xf numFmtId="8" fontId="0" fillId="0" borderId="0" xfId="0" applyNumberFormat="1"/>
    <xf numFmtId="1" fontId="0" fillId="0" borderId="0" xfId="0" applyNumberFormat="1"/>
    <xf numFmtId="0" fontId="3" fillId="0" borderId="0" xfId="0" applyFont="1" applyAlignment="1">
      <alignment horizontal="right" wrapText="1"/>
    </xf>
    <xf numFmtId="0" fontId="6" fillId="0" borderId="0" xfId="0" applyFont="1"/>
    <xf numFmtId="3" fontId="6" fillId="0" borderId="0" xfId="0" applyNumberFormat="1" applyFont="1" applyAlignment="1">
      <alignment horizontal="right"/>
    </xf>
    <xf numFmtId="9" fontId="6" fillId="0" borderId="0" xfId="0" applyNumberFormat="1" applyFont="1" applyAlignment="1">
      <alignment horizontal="right"/>
    </xf>
    <xf numFmtId="8" fontId="6" fillId="0" borderId="0" xfId="0" applyNumberFormat="1" applyFont="1" applyAlignment="1">
      <alignment horizontal="right"/>
    </xf>
    <xf numFmtId="0" fontId="0" fillId="2" borderId="1" xfId="0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44" fontId="1" fillId="0" borderId="0" xfId="1" applyFont="1" applyFill="1" applyBorder="1"/>
    <xf numFmtId="0" fontId="4" fillId="0" borderId="0" xfId="0" applyFont="1"/>
    <xf numFmtId="44" fontId="4" fillId="0" borderId="0" xfId="1" applyFont="1"/>
    <xf numFmtId="44" fontId="4" fillId="0" borderId="0" xfId="0" applyNumberFormat="1" applyFont="1"/>
    <xf numFmtId="44" fontId="4" fillId="0" borderId="0" xfId="1" applyFont="1" applyFill="1"/>
    <xf numFmtId="8" fontId="4" fillId="0" borderId="0" xfId="0" applyNumberFormat="1" applyFont="1"/>
    <xf numFmtId="44" fontId="4" fillId="2" borderId="1" xfId="1" applyFont="1" applyFill="1" applyBorder="1"/>
    <xf numFmtId="3" fontId="5" fillId="0" borderId="0" xfId="0" applyNumberFormat="1" applyFont="1"/>
    <xf numFmtId="8" fontId="5" fillId="0" borderId="0" xfId="0" applyNumberFormat="1" applyFont="1" applyAlignment="1">
      <alignment horizontal="right"/>
    </xf>
    <xf numFmtId="8" fontId="5" fillId="0" borderId="0" xfId="0" applyNumberFormat="1" applyFont="1"/>
    <xf numFmtId="164" fontId="5" fillId="0" borderId="0" xfId="0" applyNumberFormat="1" applyFont="1"/>
    <xf numFmtId="44" fontId="5" fillId="0" borderId="0" xfId="1" applyFont="1" applyFill="1" applyBorder="1"/>
    <xf numFmtId="44" fontId="4" fillId="2" borderId="1" xfId="0" applyNumberFormat="1" applyFont="1" applyFill="1" applyBorder="1"/>
    <xf numFmtId="0" fontId="4" fillId="3" borderId="1" xfId="0" applyFont="1" applyFill="1" applyBorder="1" applyAlignment="1">
      <alignment horizontal="center" wrapText="1"/>
    </xf>
    <xf numFmtId="0" fontId="5" fillId="0" borderId="0" xfId="0" applyFont="1" applyAlignment="1">
      <alignment horizontal="left"/>
    </xf>
    <xf numFmtId="0" fontId="5" fillId="5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5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left"/>
    </xf>
    <xf numFmtId="9" fontId="0" fillId="0" borderId="0" xfId="2" applyFont="1"/>
    <xf numFmtId="0" fontId="14" fillId="0" borderId="0" xfId="0" applyFont="1" applyAlignment="1">
      <alignment horizontal="center"/>
    </xf>
    <xf numFmtId="8" fontId="5" fillId="0" borderId="0" xfId="0" applyNumberFormat="1" applyFont="1" applyAlignment="1">
      <alignment horizontal="center"/>
    </xf>
    <xf numFmtId="0" fontId="15" fillId="9" borderId="1" xfId="0" applyFont="1" applyFill="1" applyBorder="1" applyAlignment="1">
      <alignment horizontal="center"/>
    </xf>
    <xf numFmtId="8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8" fontId="5" fillId="9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9" fontId="5" fillId="0" borderId="1" xfId="2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6" fontId="5" fillId="0" borderId="1" xfId="0" applyNumberFormat="1" applyFont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6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8" borderId="0" xfId="0" applyNumberFormat="1" applyFont="1" applyFill="1" applyAlignment="1">
      <alignment horizontal="center"/>
    </xf>
    <xf numFmtId="8" fontId="5" fillId="3" borderId="1" xfId="0" applyNumberFormat="1" applyFont="1" applyFill="1" applyBorder="1" applyAlignment="1">
      <alignment horizontal="center"/>
    </xf>
    <xf numFmtId="9" fontId="14" fillId="3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14" fillId="3" borderId="1" xfId="2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1" xfId="0" applyNumberFormat="1" applyFont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0" fontId="5" fillId="7" borderId="0" xfId="0" applyFont="1" applyFill="1" applyAlignment="1">
      <alignment horizontal="center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44" fontId="14" fillId="3" borderId="1" xfId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14" fillId="3" borderId="1" xfId="0" applyNumberFormat="1" applyFont="1" applyFill="1" applyBorder="1" applyAlignment="1">
      <alignment horizontal="center"/>
    </xf>
    <xf numFmtId="0" fontId="27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0" fillId="8" borderId="12" xfId="0" applyFont="1" applyFill="1" applyBorder="1" applyAlignment="1" applyProtection="1">
      <alignment vertical="center"/>
      <protection locked="0"/>
    </xf>
    <xf numFmtId="0" fontId="20" fillId="8" borderId="19" xfId="0" applyFont="1" applyFill="1" applyBorder="1" applyAlignment="1" applyProtection="1">
      <alignment horizontal="center" vertical="center"/>
      <protection locked="0"/>
    </xf>
    <xf numFmtId="0" fontId="20" fillId="8" borderId="3" xfId="0" applyFont="1" applyFill="1" applyBorder="1" applyAlignment="1" applyProtection="1">
      <alignment vertical="center"/>
      <protection locked="0"/>
    </xf>
    <xf numFmtId="3" fontId="22" fillId="8" borderId="6" xfId="0" applyNumberFormat="1" applyFont="1" applyFill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8" fontId="22" fillId="0" borderId="0" xfId="0" applyNumberFormat="1" applyFont="1" applyAlignment="1" applyProtection="1">
      <alignment horizontal="left" vertical="center"/>
      <protection locked="0"/>
    </xf>
    <xf numFmtId="8" fontId="22" fillId="8" borderId="8" xfId="0" applyNumberFormat="1" applyFont="1" applyFill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horizontal="left" vertical="center" wrapText="1"/>
      <protection locked="0"/>
    </xf>
    <xf numFmtId="9" fontId="22" fillId="8" borderId="8" xfId="2" applyFont="1" applyFill="1" applyBorder="1" applyAlignment="1" applyProtection="1">
      <alignment horizontal="center" vertical="center"/>
      <protection locked="0"/>
    </xf>
    <xf numFmtId="6" fontId="22" fillId="0" borderId="0" xfId="0" applyNumberFormat="1" applyFont="1" applyAlignment="1" applyProtection="1">
      <alignment horizontal="left" vertical="center"/>
      <protection locked="0"/>
    </xf>
    <xf numFmtId="0" fontId="19" fillId="0" borderId="9" xfId="0" applyFont="1" applyBorder="1" applyAlignment="1" applyProtection="1">
      <alignment horizontal="left" vertical="center" wrapText="1"/>
      <protection locked="0"/>
    </xf>
    <xf numFmtId="1" fontId="22" fillId="8" borderId="11" xfId="0" applyNumberFormat="1" applyFont="1" applyFill="1" applyBorder="1" applyAlignment="1" applyProtection="1">
      <alignment horizontal="center" vertical="center"/>
      <protection locked="0"/>
    </xf>
    <xf numFmtId="0" fontId="20" fillId="10" borderId="17" xfId="0" applyFont="1" applyFill="1" applyBorder="1" applyAlignment="1" applyProtection="1">
      <alignment horizontal="center" vertical="center"/>
      <protection locked="0"/>
    </xf>
    <xf numFmtId="0" fontId="20" fillId="8" borderId="6" xfId="0" applyFont="1" applyFill="1" applyBorder="1" applyAlignment="1" applyProtection="1">
      <alignment horizontal="center" vertical="center"/>
      <protection locked="0"/>
    </xf>
    <xf numFmtId="0" fontId="22" fillId="9" borderId="0" xfId="0" applyFont="1" applyFill="1" applyAlignment="1" applyProtection="1">
      <alignment horizontal="left" vertical="center"/>
      <protection locked="0"/>
    </xf>
    <xf numFmtId="0" fontId="20" fillId="10" borderId="18" xfId="0" applyFont="1" applyFill="1" applyBorder="1" applyAlignment="1" applyProtection="1">
      <alignment horizontal="center" vertical="center"/>
      <protection locked="0"/>
    </xf>
    <xf numFmtId="0" fontId="20" fillId="8" borderId="11" xfId="0" applyFont="1" applyFill="1" applyBorder="1" applyAlignment="1" applyProtection="1">
      <alignment horizontal="center" vertical="center"/>
      <protection locked="0"/>
    </xf>
    <xf numFmtId="8" fontId="22" fillId="8" borderId="11" xfId="0" applyNumberFormat="1" applyFont="1" applyFill="1" applyBorder="1" applyAlignment="1" applyProtection="1">
      <alignment horizontal="center" vertical="center"/>
      <protection locked="0"/>
    </xf>
    <xf numFmtId="0" fontId="20" fillId="12" borderId="12" xfId="0" applyFont="1" applyFill="1" applyBorder="1" applyAlignment="1" applyProtection="1">
      <alignment vertical="center"/>
      <protection locked="0"/>
    </xf>
    <xf numFmtId="0" fontId="20" fillId="12" borderId="19" xfId="0" applyFont="1" applyFill="1" applyBorder="1" applyAlignment="1" applyProtection="1">
      <alignment horizontal="center" vertical="center"/>
      <protection locked="0"/>
    </xf>
    <xf numFmtId="0" fontId="19" fillId="10" borderId="4" xfId="0" applyFont="1" applyFill="1" applyBorder="1" applyAlignment="1" applyProtection="1">
      <alignment horizontal="left" vertical="center"/>
      <protection locked="0"/>
    </xf>
    <xf numFmtId="9" fontId="23" fillId="10" borderId="6" xfId="0" applyNumberFormat="1" applyFont="1" applyFill="1" applyBorder="1" applyAlignment="1" applyProtection="1">
      <alignment horizontal="center" vertical="center"/>
      <protection locked="0"/>
    </xf>
    <xf numFmtId="0" fontId="20" fillId="10" borderId="24" xfId="0" applyFont="1" applyFill="1" applyBorder="1" applyAlignment="1" applyProtection="1">
      <alignment horizontal="center" vertical="center"/>
      <protection locked="0"/>
    </xf>
    <xf numFmtId="0" fontId="21" fillId="10" borderId="7" xfId="0" applyFont="1" applyFill="1" applyBorder="1" applyAlignment="1" applyProtection="1">
      <alignment horizontal="left" vertical="center"/>
      <protection locked="0"/>
    </xf>
    <xf numFmtId="9" fontId="23" fillId="10" borderId="8" xfId="0" applyNumberFormat="1" applyFont="1" applyFill="1" applyBorder="1" applyAlignment="1" applyProtection="1">
      <alignment horizontal="center" vertical="center"/>
      <protection locked="0"/>
    </xf>
    <xf numFmtId="0" fontId="23" fillId="10" borderId="8" xfId="2" applyNumberFormat="1" applyFont="1" applyFill="1" applyBorder="1" applyAlignment="1" applyProtection="1">
      <alignment horizontal="center" vertical="center"/>
      <protection locked="0"/>
    </xf>
    <xf numFmtId="0" fontId="19" fillId="10" borderId="7" xfId="0" applyFont="1" applyFill="1" applyBorder="1" applyAlignment="1" applyProtection="1">
      <alignment horizontal="left" vertical="center"/>
      <protection locked="0"/>
    </xf>
    <xf numFmtId="1" fontId="22" fillId="0" borderId="0" xfId="0" applyNumberFormat="1" applyFont="1" applyAlignment="1" applyProtection="1">
      <alignment horizontal="left" vertical="center"/>
      <protection locked="0"/>
    </xf>
    <xf numFmtId="9" fontId="23" fillId="10" borderId="11" xfId="0" applyNumberFormat="1" applyFont="1" applyFill="1" applyBorder="1" applyAlignment="1" applyProtection="1">
      <alignment horizontal="center" vertical="center"/>
      <protection locked="0"/>
    </xf>
    <xf numFmtId="0" fontId="20" fillId="10" borderId="12" xfId="0" applyFont="1" applyFill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left" vertical="center" wrapText="1"/>
      <protection locked="0"/>
    </xf>
    <xf numFmtId="0" fontId="20" fillId="10" borderId="25" xfId="0" applyFont="1" applyFill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left" vertical="center"/>
      <protection locked="0"/>
    </xf>
    <xf numFmtId="1" fontId="23" fillId="10" borderId="8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left" vertical="center" wrapText="1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0" fontId="20" fillId="10" borderId="13" xfId="0" applyFont="1" applyFill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left" vertical="center"/>
      <protection locked="0"/>
    </xf>
    <xf numFmtId="0" fontId="29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horizontal="right" vertical="center"/>
      <protection locked="0"/>
    </xf>
    <xf numFmtId="0" fontId="20" fillId="11" borderId="14" xfId="0" applyFont="1" applyFill="1" applyBorder="1" applyAlignment="1" applyProtection="1">
      <alignment horizontal="center" vertical="center"/>
    </xf>
    <xf numFmtId="0" fontId="19" fillId="0" borderId="4" xfId="0" applyFont="1" applyBorder="1" applyAlignment="1" applyProtection="1">
      <alignment horizontal="left" vertical="center"/>
    </xf>
    <xf numFmtId="0" fontId="20" fillId="11" borderId="15" xfId="0" applyFont="1" applyFill="1" applyBorder="1" applyAlignment="1" applyProtection="1">
      <alignment horizontal="center" vertical="center"/>
    </xf>
    <xf numFmtId="0" fontId="19" fillId="0" borderId="7" xfId="0" applyFont="1" applyBorder="1" applyAlignment="1" applyProtection="1">
      <alignment horizontal="left" vertical="center"/>
    </xf>
    <xf numFmtId="0" fontId="19" fillId="0" borderId="7" xfId="0" applyFont="1" applyBorder="1" applyAlignment="1" applyProtection="1">
      <alignment horizontal="left" vertical="center" wrapText="1"/>
    </xf>
    <xf numFmtId="0" fontId="20" fillId="11" borderId="16" xfId="0" applyFont="1" applyFill="1" applyBorder="1" applyAlignment="1" applyProtection="1">
      <alignment horizontal="center" vertical="center"/>
    </xf>
    <xf numFmtId="0" fontId="19" fillId="0" borderId="9" xfId="0" applyFont="1" applyBorder="1" applyAlignment="1" applyProtection="1">
      <alignment horizontal="left" vertical="center" wrapText="1"/>
    </xf>
    <xf numFmtId="0" fontId="20" fillId="10" borderId="17" xfId="0" applyFont="1" applyFill="1" applyBorder="1" applyAlignment="1" applyProtection="1">
      <alignment horizontal="center" vertical="center"/>
    </xf>
    <xf numFmtId="0" fontId="20" fillId="10" borderId="18" xfId="0" applyFont="1" applyFill="1" applyBorder="1" applyAlignment="1" applyProtection="1">
      <alignment horizontal="center" vertical="center"/>
    </xf>
    <xf numFmtId="0" fontId="26" fillId="11" borderId="17" xfId="0" applyFont="1" applyFill="1" applyBorder="1" applyAlignment="1" applyProtection="1">
      <alignment horizontal="left" vertical="center"/>
    </xf>
    <xf numFmtId="0" fontId="26" fillId="11" borderId="18" xfId="0" applyFont="1" applyFill="1" applyBorder="1" applyAlignment="1" applyProtection="1">
      <alignment horizontal="left" vertical="center"/>
    </xf>
    <xf numFmtId="0" fontId="20" fillId="9" borderId="20" xfId="0" applyFont="1" applyFill="1" applyBorder="1" applyAlignment="1" applyProtection="1">
      <alignment vertical="center"/>
    </xf>
    <xf numFmtId="0" fontId="19" fillId="0" borderId="22" xfId="0" applyFont="1" applyBorder="1" applyAlignment="1" applyProtection="1">
      <alignment horizontal="left" vertical="center"/>
    </xf>
    <xf numFmtId="0" fontId="19" fillId="0" borderId="15" xfId="0" applyFont="1" applyBorder="1" applyAlignment="1" applyProtection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16" xfId="0" applyFont="1" applyBorder="1" applyAlignment="1" applyProtection="1">
      <alignment horizontal="left" vertical="center"/>
    </xf>
    <xf numFmtId="0" fontId="21" fillId="0" borderId="0" xfId="0" applyFont="1" applyAlignment="1" applyProtection="1">
      <alignment horizontal="left" vertical="center"/>
    </xf>
    <xf numFmtId="0" fontId="20" fillId="9" borderId="14" xfId="0" applyFont="1" applyFill="1" applyBorder="1" applyAlignment="1" applyProtection="1">
      <alignment vertical="center"/>
    </xf>
    <xf numFmtId="0" fontId="21" fillId="0" borderId="15" xfId="0" applyFont="1" applyBorder="1" applyAlignment="1" applyProtection="1">
      <alignment horizontal="left" vertical="center" wrapText="1"/>
    </xf>
    <xf numFmtId="0" fontId="22" fillId="9" borderId="21" xfId="0" applyFont="1" applyFill="1" applyBorder="1" applyAlignment="1" applyProtection="1">
      <alignment horizontal="center" vertical="center"/>
    </xf>
    <xf numFmtId="8" fontId="21" fillId="0" borderId="23" xfId="0" applyNumberFormat="1" applyFont="1" applyBorder="1" applyAlignment="1" applyProtection="1">
      <alignment horizontal="center" vertical="center"/>
    </xf>
    <xf numFmtId="165" fontId="21" fillId="0" borderId="8" xfId="0" applyNumberFormat="1" applyFont="1" applyBorder="1" applyAlignment="1" applyProtection="1">
      <alignment horizontal="center" vertical="center"/>
    </xf>
    <xf numFmtId="6" fontId="21" fillId="0" borderId="8" xfId="0" applyNumberFormat="1" applyFont="1" applyBorder="1" applyAlignment="1" applyProtection="1">
      <alignment horizontal="center" vertical="center"/>
    </xf>
    <xf numFmtId="44" fontId="22" fillId="0" borderId="8" xfId="1" applyFont="1" applyBorder="1" applyAlignment="1" applyProtection="1">
      <alignment horizontal="center" vertical="center"/>
    </xf>
    <xf numFmtId="8" fontId="21" fillId="0" borderId="8" xfId="0" applyNumberFormat="1" applyFont="1" applyBorder="1" applyAlignment="1" applyProtection="1">
      <alignment horizontal="center" vertical="center"/>
    </xf>
    <xf numFmtId="44" fontId="22" fillId="0" borderId="11" xfId="1" applyFont="1" applyBorder="1" applyAlignment="1" applyProtection="1">
      <alignment horizontal="center" vertical="center"/>
    </xf>
    <xf numFmtId="6" fontId="21" fillId="0" borderId="0" xfId="0" applyNumberFormat="1" applyFont="1" applyAlignment="1" applyProtection="1">
      <alignment horizontal="center" vertical="center"/>
    </xf>
    <xf numFmtId="0" fontId="22" fillId="9" borderId="6" xfId="0" applyFont="1" applyFill="1" applyBorder="1" applyAlignment="1" applyProtection="1">
      <alignment horizontal="center" vertical="center"/>
    </xf>
    <xf numFmtId="0" fontId="19" fillId="0" borderId="0" xfId="0" applyFont="1" applyAlignment="1" applyProtection="1">
      <alignment vertical="center"/>
    </xf>
    <xf numFmtId="0" fontId="21" fillId="0" borderId="0" xfId="0" applyFont="1" applyAlignment="1" applyProtection="1">
      <alignment horizontal="center" vertical="center"/>
    </xf>
    <xf numFmtId="0" fontId="20" fillId="9" borderId="26" xfId="0" applyFont="1" applyFill="1" applyBorder="1" applyAlignment="1" applyProtection="1">
      <alignment vertical="center"/>
    </xf>
    <xf numFmtId="0" fontId="20" fillId="0" borderId="22" xfId="0" applyFont="1" applyBorder="1" applyAlignment="1" applyProtection="1">
      <alignment vertical="center"/>
    </xf>
    <xf numFmtId="44" fontId="23" fillId="0" borderId="27" xfId="1" applyFont="1" applyBorder="1" applyAlignment="1" applyProtection="1">
      <alignment horizontal="center" vertical="center"/>
    </xf>
    <xf numFmtId="0" fontId="20" fillId="0" borderId="15" xfId="0" applyFont="1" applyBorder="1" applyAlignment="1" applyProtection="1">
      <alignment vertical="center"/>
    </xf>
    <xf numFmtId="44" fontId="23" fillId="0" borderId="28" xfId="1" applyFont="1" applyBorder="1" applyAlignment="1" applyProtection="1">
      <alignment horizontal="center" vertical="center"/>
    </xf>
    <xf numFmtId="0" fontId="20" fillId="0" borderId="16" xfId="0" applyFont="1" applyBorder="1" applyAlignment="1" applyProtection="1">
      <alignment vertical="center"/>
    </xf>
    <xf numFmtId="44" fontId="23" fillId="0" borderId="29" xfId="1" applyFont="1" applyBorder="1" applyAlignment="1" applyProtection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mruColors>
      <color rgb="FF0000FF"/>
      <color rgb="FF99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3114675</xdr:colOff>
      <xdr:row>0</xdr:row>
      <xdr:rowOff>47625</xdr:rowOff>
    </xdr:from>
    <xdr:to>
      <xdr:col>7</xdr:col>
      <xdr:colOff>1276347</xdr:colOff>
      <xdr:row>2</xdr:row>
      <xdr:rowOff>388317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C8F06DF-C521-9F4A-4973-D17F957CE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47625"/>
          <a:ext cx="2933697" cy="759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438149</xdr:colOff>
      <xdr:row>44</xdr:row>
      <xdr:rowOff>190500</xdr:rowOff>
    </xdr:from>
    <xdr:to>
      <xdr:col>3</xdr:col>
      <xdr:colOff>1038224</xdr:colOff>
      <xdr:row>49</xdr:row>
      <xdr:rowOff>85725</xdr:rowOff>
    </xdr:to>
    <xdr:sp macro="" textlink="">
      <xdr:nvSpPr>
        <xdr:cNvPr id="4" name="Chave Esquerda 3">
          <a:extLst>
            <a:ext uri="{FF2B5EF4-FFF2-40B4-BE49-F238E27FC236}">
              <a16:creationId xmlns:a16="http://schemas.microsoft.com/office/drawing/2014/main" id="{5A67C5C3-A87F-FD5C-B4BB-B5EBB2B2FE91}"/>
            </a:ext>
          </a:extLst>
        </xdr:cNvPr>
        <xdr:cNvSpPr/>
      </xdr:nvSpPr>
      <xdr:spPr>
        <a:xfrm>
          <a:off x="5314949" y="14068425"/>
          <a:ext cx="600075" cy="1476375"/>
        </a:xfrm>
        <a:prstGeom prst="leftBrace">
          <a:avLst>
            <a:gd name="adj1" fmla="val 8333"/>
            <a:gd name="adj2" fmla="val 50714"/>
          </a:avLst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C4300-850E-45FE-93B1-28AC3ABABCEE}">
  <dimension ref="A1:K70"/>
  <sheetViews>
    <sheetView zoomScale="86" zoomScaleNormal="86" workbookViewId="0">
      <selection activeCell="I37" sqref="I37"/>
    </sheetView>
  </sheetViews>
  <sheetFormatPr defaultRowHeight="15"/>
  <cols>
    <col min="1" max="1" width="8.7109375" style="10"/>
    <col min="2" max="2" width="71.85546875" style="60" customWidth="1"/>
    <col min="3" max="3" width="13.28515625" style="5" customWidth="1"/>
    <col min="4" max="4" width="31.5703125" style="4" customWidth="1"/>
    <col min="5" max="5" width="15" bestFit="1" customWidth="1"/>
    <col min="6" max="7" width="15" hidden="1" customWidth="1"/>
    <col min="8" max="8" width="15" customWidth="1"/>
    <col min="9" max="9" width="15.42578125" customWidth="1"/>
    <col min="10" max="10" width="15.7109375" bestFit="1" customWidth="1"/>
    <col min="11" max="11" width="64.28515625" customWidth="1"/>
  </cols>
  <sheetData>
    <row r="1" spans="1:11" ht="48.75">
      <c r="A1" s="13" t="s">
        <v>0</v>
      </c>
      <c r="B1" s="58"/>
      <c r="C1" s="17" t="s">
        <v>1</v>
      </c>
      <c r="D1" s="18" t="s">
        <v>2</v>
      </c>
      <c r="E1" s="19" t="s">
        <v>3</v>
      </c>
      <c r="F1" s="19" t="s">
        <v>4</v>
      </c>
      <c r="G1" s="19" t="s">
        <v>5</v>
      </c>
      <c r="H1" s="57" t="s">
        <v>6</v>
      </c>
      <c r="I1" s="7" t="s">
        <v>7</v>
      </c>
      <c r="J1" s="7" t="s">
        <v>8</v>
      </c>
      <c r="K1" s="11" t="s">
        <v>9</v>
      </c>
    </row>
    <row r="2" spans="1:11">
      <c r="A2" s="13">
        <v>2</v>
      </c>
      <c r="B2" s="59" t="s">
        <v>10</v>
      </c>
      <c r="C2" s="6"/>
      <c r="I2" s="2"/>
      <c r="J2" s="45"/>
    </row>
    <row r="3" spans="1:11" ht="30">
      <c r="B3" s="60" t="s">
        <v>11</v>
      </c>
      <c r="C3" s="27" t="s">
        <v>12</v>
      </c>
      <c r="D3" s="10"/>
      <c r="E3" s="51">
        <v>12000</v>
      </c>
      <c r="F3" s="51"/>
      <c r="G3" s="51"/>
      <c r="H3" s="51"/>
      <c r="I3" s="2"/>
      <c r="J3" s="45"/>
      <c r="K3" s="1" t="s">
        <v>13</v>
      </c>
    </row>
    <row r="4" spans="1:11" ht="15.75">
      <c r="B4" s="60" t="s">
        <v>14</v>
      </c>
      <c r="C4" s="27" t="s">
        <v>12</v>
      </c>
      <c r="E4" s="52">
        <v>8000000</v>
      </c>
      <c r="F4" s="52"/>
      <c r="G4" s="52"/>
      <c r="H4" s="52"/>
      <c r="I4" s="2"/>
      <c r="J4" s="45"/>
    </row>
    <row r="5" spans="1:11" ht="15.75">
      <c r="B5" s="60" t="s">
        <v>15</v>
      </c>
      <c r="C5" s="27" t="s">
        <v>12</v>
      </c>
      <c r="D5" s="21" t="s">
        <v>16</v>
      </c>
      <c r="E5" s="53">
        <f>E4*0.3</f>
        <v>2400000</v>
      </c>
      <c r="F5" s="53"/>
      <c r="G5" s="53"/>
      <c r="H5" s="53"/>
      <c r="I5" s="2"/>
      <c r="J5" s="45"/>
    </row>
    <row r="6" spans="1:11" ht="30">
      <c r="B6" s="60" t="s">
        <v>17</v>
      </c>
      <c r="C6" s="27" t="s">
        <v>12</v>
      </c>
      <c r="D6" s="21" t="s">
        <v>18</v>
      </c>
      <c r="E6" s="54">
        <f>(E3*0.3)*2</f>
        <v>7200</v>
      </c>
      <c r="F6" s="54"/>
      <c r="G6" s="54"/>
      <c r="H6" s="54"/>
      <c r="I6" s="2"/>
      <c r="J6" s="45"/>
    </row>
    <row r="7" spans="1:11" ht="15.75">
      <c r="B7" s="60" t="s">
        <v>19</v>
      </c>
      <c r="C7" s="27"/>
      <c r="D7" s="21"/>
      <c r="E7" s="55">
        <v>666</v>
      </c>
      <c r="F7" s="55"/>
      <c r="G7" s="55"/>
      <c r="H7" s="55"/>
      <c r="I7" s="2"/>
      <c r="J7" s="45"/>
      <c r="K7" t="s">
        <v>20</v>
      </c>
    </row>
    <row r="8" spans="1:11" ht="15.75">
      <c r="B8" s="61"/>
      <c r="C8" s="27"/>
      <c r="I8" s="2"/>
      <c r="J8" s="45"/>
    </row>
    <row r="9" spans="1:11" ht="15.75">
      <c r="A9" s="13">
        <v>3</v>
      </c>
      <c r="B9" s="62" t="s">
        <v>21</v>
      </c>
      <c r="C9" s="27"/>
      <c r="I9" s="2"/>
      <c r="J9" s="45"/>
    </row>
    <row r="10" spans="1:11" ht="15.75">
      <c r="B10" s="60" t="s">
        <v>22</v>
      </c>
      <c r="C10" s="27" t="s">
        <v>12</v>
      </c>
      <c r="D10" s="4" t="s">
        <v>23</v>
      </c>
      <c r="E10">
        <f>E3*7%</f>
        <v>840.00000000000011</v>
      </c>
      <c r="I10" s="2"/>
      <c r="J10" s="45"/>
    </row>
    <row r="11" spans="1:11" ht="30">
      <c r="B11" s="60" t="s">
        <v>24</v>
      </c>
      <c r="C11" s="26" t="s">
        <v>12</v>
      </c>
      <c r="D11" s="21" t="s">
        <v>25</v>
      </c>
      <c r="E11" s="2"/>
      <c r="F11" s="2"/>
      <c r="G11" s="2"/>
      <c r="H11" s="2"/>
      <c r="I11" s="2"/>
      <c r="J11" s="46">
        <f>((E4/E3)*E10)</f>
        <v>560000</v>
      </c>
      <c r="K11" s="1" t="s">
        <v>26</v>
      </c>
    </row>
    <row r="12" spans="1:11" ht="15.75">
      <c r="C12" s="27"/>
      <c r="E12" s="2"/>
      <c r="F12" s="2"/>
      <c r="G12" s="2"/>
      <c r="H12" s="2"/>
      <c r="I12" s="2"/>
      <c r="J12" s="46"/>
      <c r="K12" s="1"/>
    </row>
    <row r="13" spans="1:11" ht="15.75">
      <c r="A13" s="13">
        <v>4</v>
      </c>
      <c r="B13" s="62" t="s">
        <v>27</v>
      </c>
      <c r="C13" s="27"/>
      <c r="D13" s="14"/>
      <c r="E13" s="33"/>
      <c r="F13" s="33"/>
      <c r="G13" s="33"/>
      <c r="H13" s="33"/>
      <c r="I13" s="29"/>
      <c r="J13" s="45"/>
    </row>
    <row r="14" spans="1:11" ht="15.75">
      <c r="B14" s="63" t="s">
        <v>28</v>
      </c>
      <c r="C14" s="27" t="s">
        <v>12</v>
      </c>
      <c r="D14" s="5" t="s">
        <v>23</v>
      </c>
      <c r="E14" s="34">
        <v>0.02</v>
      </c>
      <c r="F14" s="34"/>
      <c r="G14" s="34"/>
      <c r="H14" s="34"/>
      <c r="I14" s="29"/>
      <c r="J14" s="45"/>
    </row>
    <row r="15" spans="1:11" ht="15.75">
      <c r="B15" s="63" t="s">
        <v>29</v>
      </c>
      <c r="C15" s="27" t="s">
        <v>12</v>
      </c>
      <c r="D15" s="5" t="s">
        <v>23</v>
      </c>
      <c r="E15">
        <f>E3*E14</f>
        <v>240</v>
      </c>
      <c r="I15" s="29"/>
      <c r="J15" s="47"/>
    </row>
    <row r="16" spans="1:11" ht="15.75">
      <c r="B16" s="63" t="s">
        <v>30</v>
      </c>
      <c r="C16" s="27" t="s">
        <v>12</v>
      </c>
      <c r="D16" s="10"/>
      <c r="H16" s="2"/>
      <c r="I16" s="2"/>
      <c r="J16" s="48">
        <f>((E4/E3)*E15)</f>
        <v>160000</v>
      </c>
      <c r="K16" t="s">
        <v>31</v>
      </c>
    </row>
    <row r="17" spans="1:11" ht="15.75">
      <c r="C17" s="27"/>
      <c r="E17" s="2"/>
      <c r="F17" s="2"/>
      <c r="G17" s="2"/>
      <c r="H17" s="33"/>
      <c r="I17" s="2"/>
      <c r="J17" s="46"/>
      <c r="K17" s="1"/>
    </row>
    <row r="18" spans="1:11" ht="30">
      <c r="A18" s="13">
        <v>5</v>
      </c>
      <c r="B18" s="62" t="s">
        <v>32</v>
      </c>
      <c r="C18" s="27"/>
      <c r="E18" s="33"/>
      <c r="F18" s="33"/>
      <c r="G18" s="33"/>
      <c r="H18" s="34"/>
      <c r="I18" s="29"/>
      <c r="J18" s="45"/>
      <c r="K18" s="1" t="s">
        <v>33</v>
      </c>
    </row>
    <row r="19" spans="1:11" ht="15.75">
      <c r="B19" s="63" t="s">
        <v>34</v>
      </c>
      <c r="C19" s="27" t="s">
        <v>12</v>
      </c>
      <c r="D19" s="5" t="s">
        <v>23</v>
      </c>
      <c r="E19" s="34">
        <v>0.4</v>
      </c>
      <c r="F19" s="34"/>
      <c r="G19" s="34"/>
      <c r="I19" s="29"/>
      <c r="J19" s="45"/>
    </row>
    <row r="20" spans="1:11" ht="15.75">
      <c r="B20" s="63" t="s">
        <v>35</v>
      </c>
      <c r="C20" s="27" t="s">
        <v>12</v>
      </c>
      <c r="D20" s="5" t="s">
        <v>23</v>
      </c>
      <c r="E20">
        <f>E3*E19</f>
        <v>4800</v>
      </c>
      <c r="H20" s="34"/>
      <c r="I20" s="29"/>
      <c r="J20" s="47"/>
    </row>
    <row r="21" spans="1:11" ht="30">
      <c r="B21" s="63" t="s">
        <v>36</v>
      </c>
      <c r="C21" s="27" t="s">
        <v>12</v>
      </c>
      <c r="D21" s="5" t="s">
        <v>23</v>
      </c>
      <c r="E21" s="34">
        <v>0.15</v>
      </c>
      <c r="F21" s="34"/>
      <c r="G21" s="34"/>
      <c r="I21" s="29"/>
      <c r="J21" s="47"/>
      <c r="K21" s="1" t="s">
        <v>37</v>
      </c>
    </row>
    <row r="22" spans="1:11" ht="15.75">
      <c r="B22" s="63" t="s">
        <v>38</v>
      </c>
      <c r="C22" s="27" t="s">
        <v>12</v>
      </c>
      <c r="D22" s="5" t="s">
        <v>23</v>
      </c>
      <c r="E22">
        <f>E20*E21</f>
        <v>720</v>
      </c>
      <c r="H22" s="24"/>
      <c r="I22" s="2"/>
      <c r="J22" s="48"/>
    </row>
    <row r="23" spans="1:11" ht="15.75">
      <c r="B23" s="63" t="s">
        <v>39</v>
      </c>
      <c r="C23" s="27" t="s">
        <v>40</v>
      </c>
      <c r="D23" s="5" t="s">
        <v>41</v>
      </c>
      <c r="E23" s="24">
        <v>250000</v>
      </c>
      <c r="F23" s="24"/>
      <c r="G23" s="24"/>
      <c r="I23" s="2"/>
      <c r="J23" s="45"/>
    </row>
    <row r="24" spans="1:11" ht="15.75">
      <c r="B24" s="63" t="s">
        <v>42</v>
      </c>
      <c r="C24" s="27" t="s">
        <v>40</v>
      </c>
      <c r="D24" s="5" t="s">
        <v>43</v>
      </c>
      <c r="E24">
        <v>6</v>
      </c>
      <c r="I24" s="2"/>
      <c r="J24" s="45"/>
    </row>
    <row r="25" spans="1:11" ht="30">
      <c r="B25" s="63" t="s">
        <v>44</v>
      </c>
      <c r="C25" s="26" t="s">
        <v>40</v>
      </c>
      <c r="D25" s="22" t="s">
        <v>45</v>
      </c>
      <c r="I25" s="9">
        <f>E23/E24</f>
        <v>41666.666666666664</v>
      </c>
      <c r="J25" s="47">
        <f>E23-I25</f>
        <v>208333.33333333334</v>
      </c>
      <c r="K25" t="s">
        <v>46</v>
      </c>
    </row>
    <row r="26" spans="1:11" ht="15.75">
      <c r="C26" s="27"/>
      <c r="I26" s="2"/>
      <c r="J26" s="45"/>
    </row>
    <row r="27" spans="1:11" ht="15.75">
      <c r="B27" s="62" t="s">
        <v>47</v>
      </c>
      <c r="C27" s="28"/>
      <c r="H27" s="23"/>
      <c r="I27" s="2"/>
      <c r="J27" s="45"/>
    </row>
    <row r="28" spans="1:11" ht="15.75">
      <c r="B28" s="60" t="s">
        <v>48</v>
      </c>
      <c r="C28" s="27"/>
      <c r="E28" s="23">
        <f>E3</f>
        <v>12000</v>
      </c>
      <c r="F28" s="23"/>
      <c r="G28" s="23"/>
      <c r="H28" s="23"/>
      <c r="I28" s="2"/>
      <c r="J28" s="45"/>
    </row>
    <row r="29" spans="1:11" ht="15.75">
      <c r="B29" s="60" t="s">
        <v>49</v>
      </c>
      <c r="C29" s="27" t="s">
        <v>12</v>
      </c>
      <c r="D29" s="4" t="s">
        <v>23</v>
      </c>
      <c r="E29" s="23">
        <f>E3*0.85</f>
        <v>10200</v>
      </c>
      <c r="F29" s="23"/>
      <c r="G29" s="23"/>
      <c r="H29" s="23"/>
      <c r="I29" s="2"/>
      <c r="J29" s="45"/>
      <c r="K29" t="s">
        <v>50</v>
      </c>
    </row>
    <row r="30" spans="1:11" ht="15.75">
      <c r="B30" s="60" t="s">
        <v>51</v>
      </c>
      <c r="C30" s="27" t="s">
        <v>12</v>
      </c>
      <c r="D30" s="4" t="s">
        <v>23</v>
      </c>
      <c r="E30" s="23">
        <f>E3*3%</f>
        <v>360</v>
      </c>
      <c r="F30" s="23"/>
      <c r="G30" s="23"/>
      <c r="H30" s="23"/>
      <c r="I30" s="2"/>
      <c r="J30" s="45"/>
      <c r="K30" t="s">
        <v>52</v>
      </c>
    </row>
    <row r="31" spans="1:11" ht="15.75">
      <c r="B31" s="60" t="s">
        <v>53</v>
      </c>
      <c r="C31" s="27" t="s">
        <v>12</v>
      </c>
      <c r="D31" s="4" t="s">
        <v>23</v>
      </c>
      <c r="E31" s="23">
        <f>E3*25%</f>
        <v>3000</v>
      </c>
      <c r="F31" s="23"/>
      <c r="G31" s="23"/>
      <c r="H31" s="35"/>
      <c r="I31" s="2"/>
      <c r="J31" s="45"/>
      <c r="K31" t="s">
        <v>54</v>
      </c>
    </row>
    <row r="32" spans="1:11" ht="30">
      <c r="B32" s="60" t="s">
        <v>55</v>
      </c>
      <c r="C32" s="26" t="s">
        <v>40</v>
      </c>
      <c r="D32" s="21" t="s">
        <v>56</v>
      </c>
      <c r="E32" s="35">
        <f>(E5/0.25)*3%</f>
        <v>288000</v>
      </c>
      <c r="F32" s="35"/>
      <c r="G32" s="35"/>
      <c r="J32" s="49">
        <f>E32</f>
        <v>288000</v>
      </c>
      <c r="K32" t="s">
        <v>57</v>
      </c>
    </row>
    <row r="33" spans="2:11" ht="15.75">
      <c r="C33" s="27"/>
      <c r="I33" s="2"/>
      <c r="J33" s="45"/>
    </row>
    <row r="34" spans="2:11" ht="15.75">
      <c r="C34" s="27"/>
      <c r="H34" s="33"/>
      <c r="I34" s="2"/>
      <c r="J34" s="45"/>
    </row>
    <row r="35" spans="2:11" ht="30">
      <c r="B35" s="62" t="s">
        <v>58</v>
      </c>
      <c r="C35" s="27"/>
      <c r="E35" s="33"/>
      <c r="F35" s="33"/>
      <c r="G35" s="33"/>
      <c r="I35" s="2"/>
      <c r="J35" s="45"/>
      <c r="K35" s="1" t="s">
        <v>59</v>
      </c>
    </row>
    <row r="36" spans="2:11" ht="15.75">
      <c r="B36" s="63" t="s">
        <v>60</v>
      </c>
      <c r="C36" s="27" t="s">
        <v>40</v>
      </c>
      <c r="D36" s="5" t="s">
        <v>41</v>
      </c>
      <c r="E36">
        <v>80</v>
      </c>
      <c r="I36" s="2"/>
      <c r="J36" s="45"/>
    </row>
    <row r="37" spans="2:11" ht="30">
      <c r="B37" s="63" t="s">
        <v>61</v>
      </c>
      <c r="C37" s="27" t="s">
        <v>40</v>
      </c>
      <c r="D37" s="22" t="s">
        <v>62</v>
      </c>
      <c r="E37">
        <v>0</v>
      </c>
      <c r="I37" s="12">
        <v>53280</v>
      </c>
      <c r="J37" s="47">
        <f>I37*12</f>
        <v>639360</v>
      </c>
      <c r="K37" s="1" t="s">
        <v>63</v>
      </c>
    </row>
    <row r="38" spans="2:11" ht="15.75">
      <c r="C38" s="27"/>
      <c r="D38" s="5"/>
      <c r="I38" s="2"/>
      <c r="J38" s="45"/>
    </row>
    <row r="39" spans="2:11" ht="15.75">
      <c r="B39" s="62" t="s">
        <v>64</v>
      </c>
      <c r="C39" s="27"/>
      <c r="H39" s="23"/>
      <c r="I39" s="2"/>
      <c r="J39" s="45"/>
    </row>
    <row r="40" spans="2:11" ht="15.75">
      <c r="B40" s="60" t="s">
        <v>65</v>
      </c>
      <c r="C40" s="27" t="s">
        <v>40</v>
      </c>
      <c r="E40" s="23">
        <v>400</v>
      </c>
      <c r="F40" s="23"/>
      <c r="G40" s="23"/>
      <c r="H40" s="23"/>
      <c r="I40" s="2"/>
      <c r="J40" s="45"/>
    </row>
    <row r="41" spans="2:11" ht="15.75">
      <c r="B41" s="60" t="s">
        <v>66</v>
      </c>
      <c r="C41" s="27" t="s">
        <v>40</v>
      </c>
      <c r="D41" s="4" t="s">
        <v>23</v>
      </c>
      <c r="E41" s="23">
        <f>E40</f>
        <v>400</v>
      </c>
      <c r="F41" s="23"/>
      <c r="G41" s="23"/>
      <c r="H41" s="23"/>
      <c r="I41" s="2"/>
      <c r="J41" s="45"/>
      <c r="K41" t="s">
        <v>50</v>
      </c>
    </row>
    <row r="42" spans="2:11" ht="15.75">
      <c r="B42" s="60" t="s">
        <v>67</v>
      </c>
      <c r="C42" s="27" t="s">
        <v>40</v>
      </c>
      <c r="D42" s="4" t="s">
        <v>23</v>
      </c>
      <c r="E42" s="23">
        <f>E16*3%</f>
        <v>0</v>
      </c>
      <c r="F42" s="23"/>
      <c r="G42" s="23"/>
      <c r="H42" s="23"/>
      <c r="I42" s="2"/>
      <c r="J42" s="45"/>
      <c r="K42" t="s">
        <v>52</v>
      </c>
    </row>
    <row r="43" spans="2:11" ht="15.75">
      <c r="B43" s="60" t="s">
        <v>68</v>
      </c>
      <c r="C43" s="27" t="s">
        <v>40</v>
      </c>
      <c r="D43" s="4" t="s">
        <v>23</v>
      </c>
      <c r="E43" s="23">
        <f>E40*0.8</f>
        <v>320</v>
      </c>
      <c r="F43" s="23"/>
      <c r="G43" s="23"/>
      <c r="H43" s="66">
        <f>320/400</f>
        <v>0.8</v>
      </c>
      <c r="I43" s="2"/>
      <c r="J43" s="45"/>
      <c r="K43" t="s">
        <v>69</v>
      </c>
    </row>
    <row r="44" spans="2:11" ht="15.75">
      <c r="B44" s="60" t="s">
        <v>70</v>
      </c>
      <c r="C44" s="27" t="s">
        <v>40</v>
      </c>
      <c r="E44" s="23">
        <f>E43*0.4</f>
        <v>128</v>
      </c>
      <c r="F44" s="23"/>
      <c r="G44" s="23"/>
      <c r="H44" s="23"/>
      <c r="I44" s="2"/>
      <c r="J44" s="45"/>
    </row>
    <row r="45" spans="2:11" ht="15.75">
      <c r="B45" s="60" t="s">
        <v>71</v>
      </c>
      <c r="C45" s="27" t="s">
        <v>40</v>
      </c>
      <c r="E45" s="23">
        <f>E43-E44</f>
        <v>192</v>
      </c>
      <c r="F45" s="23"/>
      <c r="G45" s="23"/>
      <c r="H45" s="23"/>
      <c r="I45" s="2"/>
      <c r="J45" s="45"/>
    </row>
    <row r="46" spans="2:11" ht="15.75">
      <c r="B46" s="60" t="s">
        <v>72</v>
      </c>
      <c r="C46" s="27" t="s">
        <v>40</v>
      </c>
      <c r="E46" s="23">
        <f>E44*0.25</f>
        <v>32</v>
      </c>
      <c r="F46" s="23"/>
      <c r="G46" s="23"/>
      <c r="H46" s="24"/>
      <c r="I46" s="2"/>
      <c r="J46" s="49"/>
      <c r="K46" t="s">
        <v>57</v>
      </c>
    </row>
    <row r="47" spans="2:11" ht="15.75">
      <c r="B47" s="60" t="s">
        <v>73</v>
      </c>
      <c r="C47" s="26" t="s">
        <v>40</v>
      </c>
      <c r="D47" s="21" t="s">
        <v>74</v>
      </c>
      <c r="E47" s="24">
        <f>(E46*E7)*2</f>
        <v>42624</v>
      </c>
      <c r="F47" s="24"/>
      <c r="G47" s="24"/>
      <c r="H47" s="44"/>
      <c r="I47" s="2"/>
      <c r="J47" s="49"/>
    </row>
    <row r="48" spans="2:11" ht="15.75">
      <c r="B48" s="60" t="s">
        <v>75</v>
      </c>
      <c r="C48" s="27" t="s">
        <v>40</v>
      </c>
      <c r="E48" s="44">
        <f>(E47/6)</f>
        <v>7104</v>
      </c>
      <c r="F48" s="44"/>
      <c r="G48" s="44"/>
      <c r="H48" s="36"/>
      <c r="J48" s="47">
        <f>E47-E48</f>
        <v>35520</v>
      </c>
      <c r="K48" t="s">
        <v>76</v>
      </c>
    </row>
    <row r="49" spans="1:11" ht="15.75">
      <c r="B49" s="60" t="s">
        <v>77</v>
      </c>
      <c r="C49" s="27" t="s">
        <v>40</v>
      </c>
      <c r="E49" s="36">
        <f>E45*0.4</f>
        <v>76.800000000000011</v>
      </c>
      <c r="F49" s="36"/>
      <c r="G49" s="36"/>
      <c r="H49" s="24"/>
      <c r="I49" s="30"/>
      <c r="J49" s="47"/>
    </row>
    <row r="50" spans="1:11" ht="15.75">
      <c r="B50" s="60" t="s">
        <v>78</v>
      </c>
      <c r="C50" s="27" t="s">
        <v>40</v>
      </c>
      <c r="E50" s="24">
        <f>(E49*E7)*2</f>
        <v>102297.60000000002</v>
      </c>
      <c r="F50" s="24"/>
      <c r="G50" s="24"/>
      <c r="H50" s="44"/>
      <c r="I50" s="30"/>
      <c r="J50" s="47"/>
    </row>
    <row r="51" spans="1:11" ht="15.75">
      <c r="B51" s="60" t="s">
        <v>79</v>
      </c>
      <c r="C51" s="27" t="s">
        <v>40</v>
      </c>
      <c r="E51" s="44">
        <f>E50*0.03</f>
        <v>3068.9280000000003</v>
      </c>
      <c r="F51" s="44"/>
      <c r="G51" s="44"/>
      <c r="J51" s="47">
        <f>E51</f>
        <v>3068.9280000000003</v>
      </c>
    </row>
    <row r="52" spans="1:11" ht="15.75">
      <c r="C52" s="27"/>
      <c r="H52" s="37"/>
      <c r="I52" s="2"/>
      <c r="J52" s="45"/>
    </row>
    <row r="53" spans="1:11" ht="15.75">
      <c r="A53" s="13" t="s">
        <v>0</v>
      </c>
      <c r="B53" s="59" t="s">
        <v>80</v>
      </c>
      <c r="C53" s="27"/>
      <c r="D53" s="6"/>
      <c r="E53" s="37"/>
      <c r="F53" s="37"/>
      <c r="G53" s="37"/>
      <c r="H53" s="38"/>
      <c r="I53" s="2"/>
      <c r="J53" s="45"/>
    </row>
    <row r="54" spans="1:11" ht="15.75">
      <c r="A54" s="13">
        <v>1</v>
      </c>
      <c r="B54" s="58" t="s">
        <v>81</v>
      </c>
      <c r="C54" s="27"/>
      <c r="D54" s="5" t="s">
        <v>41</v>
      </c>
      <c r="E54" s="38">
        <v>4</v>
      </c>
      <c r="F54" s="38"/>
      <c r="G54" s="38"/>
      <c r="H54" s="20"/>
      <c r="I54" s="2"/>
      <c r="J54" s="45"/>
    </row>
    <row r="55" spans="1:11" ht="15.75">
      <c r="B55" s="63" t="s">
        <v>82</v>
      </c>
      <c r="C55" s="27" t="s">
        <v>40</v>
      </c>
      <c r="D55" s="15"/>
      <c r="E55" s="20">
        <v>160</v>
      </c>
      <c r="F55" s="20"/>
      <c r="G55" s="20"/>
      <c r="H55" s="39"/>
      <c r="I55" s="2"/>
      <c r="J55" s="45"/>
    </row>
    <row r="56" spans="1:11" ht="15.75">
      <c r="B56" s="63" t="s">
        <v>83</v>
      </c>
      <c r="C56" s="27" t="s">
        <v>40</v>
      </c>
      <c r="D56" s="15"/>
      <c r="E56" s="39">
        <f>E54*E55</f>
        <v>640</v>
      </c>
      <c r="F56" s="39"/>
      <c r="G56" s="39"/>
      <c r="H56" s="40"/>
      <c r="I56" s="2"/>
      <c r="J56" s="45"/>
    </row>
    <row r="57" spans="1:11" ht="15.75">
      <c r="B57" s="64" t="s">
        <v>84</v>
      </c>
      <c r="C57" s="26" t="s">
        <v>40</v>
      </c>
      <c r="D57" s="16" t="s">
        <v>41</v>
      </c>
      <c r="E57" s="40">
        <v>0.1</v>
      </c>
      <c r="F57" s="40"/>
      <c r="G57" s="40"/>
      <c r="H57" s="38"/>
      <c r="I57" s="2"/>
      <c r="J57" s="45"/>
    </row>
    <row r="58" spans="1:11" ht="30">
      <c r="B58" s="64" t="s">
        <v>85</v>
      </c>
      <c r="C58" s="27" t="s">
        <v>40</v>
      </c>
      <c r="D58" s="6"/>
      <c r="E58" s="38">
        <f>E56*E57</f>
        <v>64</v>
      </c>
      <c r="F58" s="38"/>
      <c r="G58" s="38"/>
      <c r="H58" s="41"/>
      <c r="I58" s="2"/>
      <c r="J58" s="45"/>
      <c r="K58" s="1" t="s">
        <v>86</v>
      </c>
    </row>
    <row r="59" spans="1:11" ht="15.75">
      <c r="B59" s="64" t="s">
        <v>87</v>
      </c>
      <c r="C59" s="26" t="s">
        <v>40</v>
      </c>
      <c r="D59" s="16"/>
      <c r="E59" s="41">
        <f>9000/160</f>
        <v>56.25</v>
      </c>
      <c r="F59" s="41"/>
      <c r="G59" s="41"/>
      <c r="H59" s="38"/>
      <c r="I59" s="2"/>
      <c r="J59" s="45"/>
    </row>
    <row r="60" spans="1:11" ht="15.75">
      <c r="B60" s="58" t="s">
        <v>88</v>
      </c>
      <c r="C60" s="27" t="s">
        <v>40</v>
      </c>
      <c r="D60" s="6"/>
      <c r="E60" s="38"/>
      <c r="F60" s="38"/>
      <c r="G60" s="38"/>
      <c r="I60" s="3">
        <f>E58*E59</f>
        <v>3600</v>
      </c>
      <c r="J60" s="47">
        <f>I60*12</f>
        <v>43200</v>
      </c>
    </row>
    <row r="61" spans="1:11" ht="15.75">
      <c r="C61" s="27"/>
      <c r="I61" s="2"/>
      <c r="J61" s="47"/>
    </row>
    <row r="62" spans="1:11" ht="15.75">
      <c r="C62" s="27"/>
      <c r="D62" s="10"/>
      <c r="I62" s="9"/>
      <c r="J62" s="47"/>
    </row>
    <row r="63" spans="1:11" ht="15.75">
      <c r="C63" s="25"/>
      <c r="J63" s="45"/>
    </row>
    <row r="64" spans="1:11">
      <c r="B64" s="65" t="s">
        <v>89</v>
      </c>
      <c r="C64" s="32" t="s">
        <v>90</v>
      </c>
      <c r="D64" s="42"/>
      <c r="E64" s="31"/>
      <c r="F64" s="31"/>
      <c r="G64" s="31"/>
      <c r="H64" s="31"/>
      <c r="I64" s="56">
        <f>J11+J16</f>
        <v>720000</v>
      </c>
      <c r="J64" s="50">
        <f>SUM(J3:J63)</f>
        <v>1937482.2613333336</v>
      </c>
    </row>
    <row r="65" spans="2:10">
      <c r="C65" s="32" t="s">
        <v>91</v>
      </c>
      <c r="D65" s="43"/>
      <c r="E65" s="31"/>
      <c r="F65" s="31"/>
      <c r="G65" s="31"/>
      <c r="H65" s="31"/>
      <c r="I65" s="50">
        <f>J25+J32+J37+J48+J51+J60</f>
        <v>1217482.2613333336</v>
      </c>
    </row>
    <row r="67" spans="2:10">
      <c r="B67" s="60" t="s">
        <v>92</v>
      </c>
    </row>
    <row r="68" spans="2:10">
      <c r="B68" s="60" t="s">
        <v>93</v>
      </c>
    </row>
    <row r="69" spans="2:10">
      <c r="B69" s="60" t="s">
        <v>94</v>
      </c>
      <c r="J69" s="8"/>
    </row>
    <row r="70" spans="2:10">
      <c r="B70" s="60" t="s">
        <v>95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BA1F4-073F-4549-8A1E-F3440AD2A7B9}">
  <dimension ref="A1:G66"/>
  <sheetViews>
    <sheetView showGridLines="0" topLeftCell="A12" workbookViewId="0">
      <selection activeCell="D62" sqref="D62"/>
    </sheetView>
  </sheetViews>
  <sheetFormatPr defaultRowHeight="15"/>
  <cols>
    <col min="1" max="1" width="5.28515625" bestFit="1" customWidth="1"/>
    <col min="2" max="2" width="110.85546875" bestFit="1" customWidth="1"/>
    <col min="3" max="3" width="14.28515625" style="10" bestFit="1" customWidth="1"/>
    <col min="4" max="4" width="16" style="2" bestFit="1" customWidth="1"/>
    <col min="5" max="5" width="17.7109375" style="2" bestFit="1" customWidth="1"/>
    <col min="6" max="6" width="12" style="2" bestFit="1" customWidth="1"/>
    <col min="7" max="7" width="12.7109375" bestFit="1" customWidth="1"/>
  </cols>
  <sheetData>
    <row r="1" spans="1:7">
      <c r="A1" s="13" t="s">
        <v>0</v>
      </c>
      <c r="B1" s="58"/>
      <c r="C1" s="19"/>
      <c r="D1" s="83" t="s">
        <v>96</v>
      </c>
      <c r="E1" s="83" t="s">
        <v>97</v>
      </c>
      <c r="F1" s="83" t="s">
        <v>98</v>
      </c>
      <c r="G1" s="98" t="s">
        <v>99</v>
      </c>
    </row>
    <row r="2" spans="1:7">
      <c r="A2" s="13">
        <v>2</v>
      </c>
      <c r="B2" s="73" t="s">
        <v>10</v>
      </c>
      <c r="C2" s="74" t="s">
        <v>3</v>
      </c>
      <c r="D2" s="6"/>
      <c r="E2" s="6"/>
      <c r="F2" s="6"/>
    </row>
    <row r="3" spans="1:7">
      <c r="A3" s="10"/>
      <c r="B3" s="71" t="s">
        <v>100</v>
      </c>
      <c r="C3" s="75">
        <v>12000</v>
      </c>
      <c r="D3" s="85" t="s">
        <v>101</v>
      </c>
      <c r="E3" s="84"/>
      <c r="F3" s="84"/>
      <c r="G3" t="s">
        <v>13</v>
      </c>
    </row>
    <row r="4" spans="1:7">
      <c r="A4" s="10"/>
      <c r="B4" s="71" t="s">
        <v>102</v>
      </c>
      <c r="C4" s="70">
        <v>8000000</v>
      </c>
      <c r="D4" s="85" t="s">
        <v>101</v>
      </c>
      <c r="E4" s="84"/>
      <c r="F4" s="84"/>
    </row>
    <row r="5" spans="1:7">
      <c r="A5" s="10"/>
      <c r="B5" s="71" t="s">
        <v>103</v>
      </c>
      <c r="C5" s="76">
        <v>0.3</v>
      </c>
      <c r="D5" s="85" t="s">
        <v>101</v>
      </c>
      <c r="E5" s="84"/>
      <c r="F5" s="84"/>
    </row>
    <row r="6" spans="1:7">
      <c r="A6" s="10"/>
      <c r="B6" s="71" t="s">
        <v>104</v>
      </c>
      <c r="C6" s="77">
        <v>2</v>
      </c>
      <c r="D6" s="85" t="s">
        <v>101</v>
      </c>
      <c r="E6" s="84"/>
      <c r="F6" s="84"/>
    </row>
    <row r="7" spans="1:7">
      <c r="A7" s="10"/>
      <c r="B7" s="60"/>
      <c r="C7" s="68"/>
      <c r="D7" s="52"/>
      <c r="E7" s="52"/>
      <c r="F7" s="52"/>
    </row>
    <row r="8" spans="1:7" ht="15.75">
      <c r="A8" s="10"/>
      <c r="B8" s="69" t="s">
        <v>105</v>
      </c>
      <c r="C8" s="72" t="s">
        <v>106</v>
      </c>
      <c r="D8" s="68"/>
      <c r="E8" s="68"/>
      <c r="F8" s="68"/>
    </row>
    <row r="9" spans="1:7">
      <c r="A9" s="10"/>
      <c r="B9" s="71" t="s">
        <v>107</v>
      </c>
      <c r="C9" s="70">
        <f>C4*C5</f>
        <v>2400000</v>
      </c>
      <c r="D9" s="68" t="s">
        <v>108</v>
      </c>
      <c r="E9" s="68"/>
      <c r="F9" s="68"/>
    </row>
    <row r="10" spans="1:7">
      <c r="A10" s="10"/>
      <c r="B10" s="71" t="s">
        <v>109</v>
      </c>
      <c r="C10" s="77">
        <f>(C3*C5)*C6</f>
        <v>7200</v>
      </c>
      <c r="D10" s="68" t="s">
        <v>108</v>
      </c>
      <c r="E10" s="68"/>
      <c r="F10" s="68"/>
    </row>
    <row r="11" spans="1:7">
      <c r="A11" s="10"/>
      <c r="B11" s="71" t="s">
        <v>110</v>
      </c>
      <c r="C11" s="78">
        <f>C4/C3</f>
        <v>666.66666666666663</v>
      </c>
      <c r="D11" s="68" t="s">
        <v>108</v>
      </c>
      <c r="E11" s="68"/>
      <c r="F11" s="68"/>
      <c r="G11" t="s">
        <v>20</v>
      </c>
    </row>
    <row r="12" spans="1:7">
      <c r="A12" s="10"/>
      <c r="B12" s="60"/>
      <c r="C12" s="68"/>
      <c r="D12" s="52"/>
      <c r="E12" s="52"/>
      <c r="F12" s="52"/>
    </row>
    <row r="13" spans="1:7">
      <c r="A13" s="13">
        <v>3</v>
      </c>
      <c r="B13" s="79" t="s">
        <v>21</v>
      </c>
      <c r="C13" s="80" t="s">
        <v>3</v>
      </c>
      <c r="D13" s="10"/>
      <c r="E13" s="10"/>
      <c r="F13" s="10"/>
    </row>
    <row r="14" spans="1:7">
      <c r="A14" s="10"/>
      <c r="B14" s="71" t="s">
        <v>111</v>
      </c>
      <c r="C14" s="81">
        <f>C3*F14</f>
        <v>840.00000000000011</v>
      </c>
      <c r="D14" s="68" t="s">
        <v>108</v>
      </c>
      <c r="E14" s="86" t="s">
        <v>112</v>
      </c>
      <c r="F14" s="87">
        <v>7.0000000000000007E-2</v>
      </c>
    </row>
    <row r="15" spans="1:7">
      <c r="A15" s="10"/>
      <c r="B15" s="71" t="s">
        <v>24</v>
      </c>
      <c r="C15" s="82">
        <f>C14*C11</f>
        <v>560000</v>
      </c>
      <c r="D15" s="68" t="s">
        <v>108</v>
      </c>
      <c r="E15" s="68"/>
      <c r="F15" s="68"/>
      <c r="G15" t="s">
        <v>26</v>
      </c>
    </row>
    <row r="17" spans="1:7">
      <c r="A17" s="13">
        <v>4</v>
      </c>
      <c r="B17" s="79" t="s">
        <v>27</v>
      </c>
      <c r="C17" s="80" t="s">
        <v>3</v>
      </c>
    </row>
    <row r="18" spans="1:7">
      <c r="A18" s="10"/>
      <c r="B18" s="88" t="s">
        <v>113</v>
      </c>
      <c r="C18" s="81">
        <f>C3*F18</f>
        <v>240</v>
      </c>
      <c r="D18" s="68" t="s">
        <v>108</v>
      </c>
      <c r="E18" s="86" t="s">
        <v>112</v>
      </c>
      <c r="F18" s="87">
        <v>0.02</v>
      </c>
    </row>
    <row r="19" spans="1:7">
      <c r="A19" s="10"/>
      <c r="B19" s="88" t="s">
        <v>30</v>
      </c>
      <c r="C19" s="82">
        <f>C18*C11</f>
        <v>160000</v>
      </c>
      <c r="D19" s="68" t="s">
        <v>108</v>
      </c>
      <c r="G19" t="s">
        <v>114</v>
      </c>
    </row>
    <row r="20" spans="1:7">
      <c r="A20" s="10"/>
    </row>
    <row r="21" spans="1:7">
      <c r="A21" s="13">
        <v>5</v>
      </c>
      <c r="B21" s="79" t="s">
        <v>32</v>
      </c>
      <c r="C21" s="80" t="s">
        <v>3</v>
      </c>
      <c r="G21" t="s">
        <v>33</v>
      </c>
    </row>
    <row r="22" spans="1:7">
      <c r="A22" s="10"/>
      <c r="B22" s="88" t="s">
        <v>115</v>
      </c>
      <c r="C22" s="81">
        <f>C3*F22</f>
        <v>4800</v>
      </c>
      <c r="D22" s="68" t="s">
        <v>108</v>
      </c>
      <c r="E22" s="86" t="s">
        <v>112</v>
      </c>
      <c r="F22" s="87">
        <v>0.4</v>
      </c>
    </row>
    <row r="23" spans="1:7">
      <c r="A23" s="10"/>
      <c r="B23" s="88" t="s">
        <v>116</v>
      </c>
      <c r="C23" s="81">
        <f>C22*F23</f>
        <v>720</v>
      </c>
      <c r="D23" s="68" t="s">
        <v>108</v>
      </c>
      <c r="E23" s="86" t="s">
        <v>112</v>
      </c>
      <c r="F23" s="87">
        <v>0.15</v>
      </c>
      <c r="G23" t="s">
        <v>37</v>
      </c>
    </row>
    <row r="24" spans="1:7">
      <c r="A24" s="10"/>
    </row>
    <row r="25" spans="1:7" ht="15.75">
      <c r="A25" s="10"/>
      <c r="B25" s="69" t="s">
        <v>105</v>
      </c>
      <c r="C25" s="72" t="s">
        <v>106</v>
      </c>
    </row>
    <row r="26" spans="1:7">
      <c r="A26" s="10"/>
      <c r="B26" s="88" t="s">
        <v>39</v>
      </c>
      <c r="C26" s="91">
        <f>(C23*C5)*C11</f>
        <v>144000</v>
      </c>
      <c r="D26" s="68" t="s">
        <v>108</v>
      </c>
    </row>
    <row r="27" spans="1:7">
      <c r="A27" s="10"/>
      <c r="B27" s="88" t="s">
        <v>117</v>
      </c>
      <c r="C27" s="92">
        <f>C26-(C26/F27)</f>
        <v>120000</v>
      </c>
      <c r="D27" s="68" t="s">
        <v>108</v>
      </c>
      <c r="E27" s="86" t="s">
        <v>118</v>
      </c>
      <c r="F27" s="89">
        <v>6</v>
      </c>
      <c r="G27" t="s">
        <v>46</v>
      </c>
    </row>
    <row r="28" spans="1:7">
      <c r="A28" s="10"/>
    </row>
    <row r="29" spans="1:7">
      <c r="A29" s="13">
        <v>6</v>
      </c>
      <c r="B29" s="79" t="s">
        <v>47</v>
      </c>
      <c r="C29" s="80" t="s">
        <v>3</v>
      </c>
    </row>
    <row r="30" spans="1:7">
      <c r="A30" s="10"/>
      <c r="B30" s="71" t="s">
        <v>49</v>
      </c>
      <c r="C30" s="81">
        <f>$C$3*F30</f>
        <v>10200</v>
      </c>
      <c r="D30" s="68" t="s">
        <v>108</v>
      </c>
      <c r="E30" s="86" t="s">
        <v>112</v>
      </c>
      <c r="F30" s="87">
        <v>0.85</v>
      </c>
      <c r="G30" t="s">
        <v>50</v>
      </c>
    </row>
    <row r="31" spans="1:7">
      <c r="A31" s="10"/>
      <c r="B31" s="71" t="s">
        <v>51</v>
      </c>
      <c r="C31" s="81">
        <f t="shared" ref="C31:C32" si="0">$C$3*F31</f>
        <v>360</v>
      </c>
      <c r="D31" s="68" t="s">
        <v>108</v>
      </c>
      <c r="E31" s="86" t="s">
        <v>112</v>
      </c>
      <c r="F31" s="87">
        <v>0.03</v>
      </c>
      <c r="G31" t="s">
        <v>52</v>
      </c>
    </row>
    <row r="32" spans="1:7">
      <c r="A32" s="10"/>
      <c r="B32" s="71" t="s">
        <v>53</v>
      </c>
      <c r="C32" s="81">
        <f t="shared" si="0"/>
        <v>3000</v>
      </c>
      <c r="D32" s="68" t="s">
        <v>108</v>
      </c>
      <c r="E32" s="86" t="s">
        <v>112</v>
      </c>
      <c r="F32" s="87">
        <v>0.25</v>
      </c>
      <c r="G32" t="s">
        <v>54</v>
      </c>
    </row>
    <row r="33" spans="1:7">
      <c r="A33" s="10"/>
    </row>
    <row r="34" spans="1:7" ht="15.75">
      <c r="B34" s="69" t="s">
        <v>105</v>
      </c>
      <c r="C34" s="72" t="s">
        <v>106</v>
      </c>
    </row>
    <row r="35" spans="1:7">
      <c r="B35" s="71" t="s">
        <v>55</v>
      </c>
      <c r="C35" s="93">
        <f>(C9/F32)*F35</f>
        <v>288000</v>
      </c>
      <c r="D35" s="68" t="s">
        <v>108</v>
      </c>
      <c r="E35" s="86" t="s">
        <v>112</v>
      </c>
      <c r="F35" s="87">
        <v>0.03</v>
      </c>
      <c r="G35" t="s">
        <v>57</v>
      </c>
    </row>
    <row r="37" spans="1:7">
      <c r="A37" s="13">
        <v>7</v>
      </c>
      <c r="B37" s="79" t="s">
        <v>58</v>
      </c>
      <c r="C37" s="80" t="s">
        <v>3</v>
      </c>
      <c r="G37" t="s">
        <v>59</v>
      </c>
    </row>
    <row r="38" spans="1:7">
      <c r="A38" s="10"/>
      <c r="B38" s="88" t="s">
        <v>119</v>
      </c>
      <c r="C38" s="90">
        <f>F38</f>
        <v>80</v>
      </c>
      <c r="D38" s="68" t="s">
        <v>108</v>
      </c>
      <c r="E38" s="86" t="s">
        <v>112</v>
      </c>
      <c r="F38" s="99">
        <v>80</v>
      </c>
    </row>
    <row r="39" spans="1:7">
      <c r="A39" s="10"/>
      <c r="B39" s="88" t="s">
        <v>120</v>
      </c>
      <c r="C39" s="82">
        <f>C38*C11</f>
        <v>53333.333333333328</v>
      </c>
      <c r="D39" s="68" t="s">
        <v>108</v>
      </c>
    </row>
    <row r="40" spans="1:7">
      <c r="B40" s="88" t="s">
        <v>121</v>
      </c>
      <c r="C40" s="82">
        <f>C39*12</f>
        <v>640000</v>
      </c>
      <c r="D40" s="68" t="s">
        <v>108</v>
      </c>
      <c r="G40" t="s">
        <v>63</v>
      </c>
    </row>
    <row r="42" spans="1:7">
      <c r="A42" s="13">
        <v>8</v>
      </c>
      <c r="B42" s="79" t="s">
        <v>64</v>
      </c>
      <c r="C42" s="80" t="s">
        <v>3</v>
      </c>
    </row>
    <row r="43" spans="1:7">
      <c r="A43" s="10"/>
      <c r="B43" s="71" t="s">
        <v>122</v>
      </c>
      <c r="C43" s="81">
        <v>400</v>
      </c>
      <c r="D43" s="85" t="s">
        <v>101</v>
      </c>
    </row>
    <row r="44" spans="1:7">
      <c r="A44" s="10"/>
      <c r="B44" s="71" t="s">
        <v>123</v>
      </c>
      <c r="C44" s="81">
        <v>2</v>
      </c>
      <c r="D44" s="85" t="s">
        <v>101</v>
      </c>
    </row>
    <row r="45" spans="1:7">
      <c r="B45" s="71" t="s">
        <v>68</v>
      </c>
      <c r="C45" s="81">
        <f>$C$43*F45</f>
        <v>320</v>
      </c>
      <c r="D45" s="68" t="s">
        <v>108</v>
      </c>
      <c r="E45" s="86" t="s">
        <v>112</v>
      </c>
      <c r="F45" s="87">
        <v>0.8</v>
      </c>
      <c r="G45" s="38" t="s">
        <v>69</v>
      </c>
    </row>
    <row r="46" spans="1:7">
      <c r="B46" s="71" t="s">
        <v>70</v>
      </c>
      <c r="C46" s="81">
        <f>C45*F46</f>
        <v>128</v>
      </c>
      <c r="D46" s="68" t="s">
        <v>108</v>
      </c>
      <c r="E46" s="86" t="s">
        <v>112</v>
      </c>
      <c r="F46" s="87">
        <v>0.4</v>
      </c>
    </row>
    <row r="47" spans="1:7">
      <c r="B47" s="71" t="s">
        <v>71</v>
      </c>
      <c r="C47" s="81">
        <f>(C45*F47)-C48</f>
        <v>160</v>
      </c>
      <c r="D47" s="68" t="s">
        <v>108</v>
      </c>
      <c r="E47" s="86" t="s">
        <v>112</v>
      </c>
      <c r="F47" s="87">
        <v>0.6</v>
      </c>
    </row>
    <row r="48" spans="1:7">
      <c r="A48" s="10"/>
      <c r="B48" s="71" t="s">
        <v>124</v>
      </c>
      <c r="C48" s="81">
        <f>C46*F48</f>
        <v>32</v>
      </c>
      <c r="D48" s="68" t="s">
        <v>108</v>
      </c>
      <c r="E48" s="86" t="s">
        <v>112</v>
      </c>
      <c r="F48" s="87">
        <v>0.25</v>
      </c>
      <c r="G48" t="s">
        <v>57</v>
      </c>
    </row>
    <row r="49" spans="1:7">
      <c r="A49" s="10"/>
      <c r="B49" s="88" t="s">
        <v>73</v>
      </c>
      <c r="C49" s="82">
        <f>(C48*C11)*C44</f>
        <v>42666.666666666664</v>
      </c>
      <c r="D49" s="68" t="s">
        <v>108</v>
      </c>
    </row>
    <row r="50" spans="1:7">
      <c r="A50" s="10"/>
      <c r="B50" s="88" t="s">
        <v>75</v>
      </c>
      <c r="C50" s="82">
        <f>C49/F27</f>
        <v>7111.1111111111104</v>
      </c>
      <c r="D50" s="68" t="s">
        <v>108</v>
      </c>
      <c r="G50" t="s">
        <v>76</v>
      </c>
    </row>
    <row r="51" spans="1:7">
      <c r="A51" s="10"/>
      <c r="B51" s="88" t="s">
        <v>77</v>
      </c>
      <c r="C51" s="81">
        <f>C47*F51</f>
        <v>64</v>
      </c>
      <c r="D51" s="68" t="s">
        <v>108</v>
      </c>
      <c r="E51" s="86" t="s">
        <v>112</v>
      </c>
      <c r="F51" s="87">
        <v>0.4</v>
      </c>
    </row>
    <row r="52" spans="1:7">
      <c r="A52" s="10"/>
      <c r="B52" s="71" t="s">
        <v>78</v>
      </c>
      <c r="C52" s="82">
        <f>(C51*C11)*C44</f>
        <v>85333.333333333328</v>
      </c>
      <c r="D52" s="68" t="s">
        <v>108</v>
      </c>
    </row>
    <row r="53" spans="1:7">
      <c r="A53" s="67"/>
      <c r="B53" s="88" t="s">
        <v>79</v>
      </c>
      <c r="C53" s="78">
        <f>(C52*F53)</f>
        <v>2559.9999999999995</v>
      </c>
      <c r="D53" s="68" t="s">
        <v>108</v>
      </c>
      <c r="E53" s="86" t="s">
        <v>112</v>
      </c>
      <c r="F53" s="87">
        <v>0.03</v>
      </c>
    </row>
    <row r="54" spans="1:7">
      <c r="A54" s="10"/>
    </row>
    <row r="55" spans="1:7" ht="15.75">
      <c r="A55" s="10"/>
      <c r="B55" s="69" t="s">
        <v>105</v>
      </c>
      <c r="C55" s="72" t="s">
        <v>106</v>
      </c>
    </row>
    <row r="56" spans="1:7">
      <c r="A56" s="10"/>
      <c r="B56" s="71" t="s">
        <v>66</v>
      </c>
      <c r="C56" s="81">
        <f>C43*F56</f>
        <v>400</v>
      </c>
      <c r="D56" s="68" t="s">
        <v>108</v>
      </c>
      <c r="E56" s="86" t="s">
        <v>112</v>
      </c>
      <c r="F56" s="87">
        <v>1</v>
      </c>
      <c r="G56" t="s">
        <v>50</v>
      </c>
    </row>
    <row r="57" spans="1:7">
      <c r="A57" s="10"/>
      <c r="B57" s="71" t="s">
        <v>67</v>
      </c>
      <c r="C57" s="81">
        <v>0</v>
      </c>
      <c r="D57" s="68" t="s">
        <v>108</v>
      </c>
      <c r="G57" t="s">
        <v>52</v>
      </c>
    </row>
    <row r="58" spans="1:7">
      <c r="A58" s="67"/>
      <c r="B58" s="2"/>
      <c r="C58" s="2"/>
      <c r="E58"/>
      <c r="F58" s="1"/>
    </row>
    <row r="59" spans="1:7">
      <c r="A59" s="94">
        <v>9</v>
      </c>
      <c r="B59" s="73" t="s">
        <v>80</v>
      </c>
      <c r="C59" s="80" t="s">
        <v>3</v>
      </c>
      <c r="E59"/>
      <c r="F59" s="1"/>
    </row>
    <row r="60" spans="1:7">
      <c r="A60" s="67"/>
      <c r="B60" s="95" t="s">
        <v>125</v>
      </c>
      <c r="C60" s="81">
        <v>4</v>
      </c>
      <c r="D60" s="85" t="s">
        <v>101</v>
      </c>
    </row>
    <row r="61" spans="1:7">
      <c r="A61" s="67"/>
      <c r="B61" s="88" t="s">
        <v>126</v>
      </c>
      <c r="C61" s="81">
        <f>4*(8*5)</f>
        <v>160</v>
      </c>
      <c r="D61" s="68" t="s">
        <v>108</v>
      </c>
    </row>
    <row r="62" spans="1:7">
      <c r="A62" s="67"/>
      <c r="B62" s="96" t="s">
        <v>87</v>
      </c>
      <c r="C62" s="93">
        <f>F62/C61</f>
        <v>56.25</v>
      </c>
      <c r="D62" s="85" t="s">
        <v>101</v>
      </c>
      <c r="E62" s="86" t="s">
        <v>127</v>
      </c>
      <c r="F62" s="97">
        <v>9000</v>
      </c>
    </row>
    <row r="63" spans="1:7">
      <c r="A63" s="67"/>
      <c r="B63" s="88" t="s">
        <v>128</v>
      </c>
      <c r="C63" s="81">
        <f>C60*C61</f>
        <v>640</v>
      </c>
      <c r="D63" s="68" t="s">
        <v>108</v>
      </c>
      <c r="E63" s="86" t="s">
        <v>129</v>
      </c>
      <c r="F63" s="87">
        <v>0.1</v>
      </c>
    </row>
    <row r="64" spans="1:7" ht="30">
      <c r="A64" s="67"/>
      <c r="B64" s="96" t="s">
        <v>130</v>
      </c>
      <c r="C64" s="81">
        <f>C63*F63</f>
        <v>64</v>
      </c>
      <c r="D64" s="68" t="s">
        <v>108</v>
      </c>
      <c r="G64" s="38" t="s">
        <v>86</v>
      </c>
    </row>
    <row r="65" spans="1:4">
      <c r="A65" s="67"/>
      <c r="B65" s="95" t="s">
        <v>88</v>
      </c>
      <c r="C65" s="93">
        <f>C64*C62</f>
        <v>3600</v>
      </c>
      <c r="D65" s="68" t="s">
        <v>108</v>
      </c>
    </row>
    <row r="66" spans="1:4">
      <c r="A66" s="10"/>
    </row>
  </sheetData>
  <autoFilter ref="A1:G6" xr:uid="{B11BA1F4-073F-4549-8A1E-F3440AD2A7B9}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67E82-9F9C-4781-B221-3BB15D09C10C}">
  <dimension ref="B1:I49"/>
  <sheetViews>
    <sheetView showGridLines="0" tabSelected="1" zoomScaleNormal="100" workbookViewId="0">
      <selection activeCell="D10" sqref="D10"/>
    </sheetView>
  </sheetViews>
  <sheetFormatPr defaultColWidth="8.85546875" defaultRowHeight="15"/>
  <cols>
    <col min="1" max="1" width="1.42578125" style="101" customWidth="1"/>
    <col min="2" max="2" width="9.140625" style="101" customWidth="1"/>
    <col min="3" max="3" width="62.5703125" style="101" customWidth="1"/>
    <col min="4" max="4" width="16.42578125" style="101" bestFit="1" customWidth="1"/>
    <col min="5" max="5" width="2.28515625" style="101" customWidth="1"/>
    <col min="6" max="6" width="17.7109375" style="102" hidden="1" customWidth="1"/>
    <col min="7" max="7" width="71.5703125" style="101" customWidth="1"/>
    <col min="8" max="8" width="22.42578125" style="103" customWidth="1"/>
    <col min="9" max="9" width="2.5703125" style="104" customWidth="1"/>
    <col min="10" max="10" width="23" style="101" bestFit="1" customWidth="1"/>
    <col min="11" max="11" width="15.7109375" style="101" customWidth="1"/>
    <col min="12" max="16384" width="8.85546875" style="101"/>
  </cols>
  <sheetData>
    <row r="1" spans="2:9" ht="18">
      <c r="B1" s="100" t="s">
        <v>164</v>
      </c>
    </row>
    <row r="2" spans="2:9">
      <c r="B2" s="105" t="s">
        <v>160</v>
      </c>
      <c r="G2" s="106"/>
    </row>
    <row r="3" spans="2:9" ht="45" customHeight="1" thickBot="1"/>
    <row r="4" spans="2:9" ht="29.25" customHeight="1" thickBot="1">
      <c r="C4" s="107" t="s">
        <v>159</v>
      </c>
      <c r="D4" s="108" t="s">
        <v>3</v>
      </c>
      <c r="F4" s="109" t="s">
        <v>131</v>
      </c>
      <c r="G4" s="159" t="s">
        <v>161</v>
      </c>
      <c r="H4" s="167" t="s">
        <v>132</v>
      </c>
    </row>
    <row r="5" spans="2:9">
      <c r="B5" s="148" t="s">
        <v>133</v>
      </c>
      <c r="C5" s="149" t="s">
        <v>100</v>
      </c>
      <c r="D5" s="110">
        <v>10000</v>
      </c>
      <c r="F5" s="111" t="s">
        <v>12</v>
      </c>
      <c r="G5" s="160" t="s">
        <v>107</v>
      </c>
      <c r="H5" s="168">
        <f>D6*D7</f>
        <v>2100000</v>
      </c>
      <c r="I5" s="112"/>
    </row>
    <row r="6" spans="2:9" ht="28.5">
      <c r="B6" s="150"/>
      <c r="C6" s="151" t="s">
        <v>102</v>
      </c>
      <c r="D6" s="113">
        <v>7000000</v>
      </c>
      <c r="F6" s="111" t="s">
        <v>12</v>
      </c>
      <c r="G6" s="152" t="s">
        <v>134</v>
      </c>
      <c r="H6" s="169">
        <f>(D5*D7)*D8</f>
        <v>6000</v>
      </c>
    </row>
    <row r="7" spans="2:9" ht="28.5">
      <c r="B7" s="150"/>
      <c r="C7" s="152" t="s">
        <v>135</v>
      </c>
      <c r="D7" s="115">
        <v>0.3</v>
      </c>
      <c r="F7" s="111" t="s">
        <v>12</v>
      </c>
      <c r="G7" s="161" t="s">
        <v>110</v>
      </c>
      <c r="H7" s="170">
        <f>D6/D5</f>
        <v>700</v>
      </c>
      <c r="I7" s="116"/>
    </row>
    <row r="8" spans="2:9" ht="29.25" thickBot="1">
      <c r="B8" s="153"/>
      <c r="C8" s="154" t="s">
        <v>104</v>
      </c>
      <c r="D8" s="118">
        <v>2</v>
      </c>
      <c r="F8" s="111" t="s">
        <v>12</v>
      </c>
      <c r="G8" s="161" t="s">
        <v>136</v>
      </c>
      <c r="H8" s="169">
        <f>D5*D15</f>
        <v>700.00000000000011</v>
      </c>
    </row>
    <row r="9" spans="2:9">
      <c r="B9" s="155" t="s">
        <v>137</v>
      </c>
      <c r="C9" s="149" t="s">
        <v>122</v>
      </c>
      <c r="D9" s="120">
        <v>400</v>
      </c>
      <c r="F9" s="111" t="s">
        <v>12</v>
      </c>
      <c r="G9" s="152" t="s">
        <v>24</v>
      </c>
      <c r="H9" s="171">
        <f>H8*H7</f>
        <v>490000.00000000006</v>
      </c>
      <c r="I9" s="121" t="s">
        <v>138</v>
      </c>
    </row>
    <row r="10" spans="2:9" ht="29.25" thickBot="1">
      <c r="B10" s="156"/>
      <c r="C10" s="154" t="s">
        <v>123</v>
      </c>
      <c r="D10" s="123">
        <v>2</v>
      </c>
      <c r="F10" s="111" t="s">
        <v>12</v>
      </c>
      <c r="G10" s="152" t="s">
        <v>145</v>
      </c>
      <c r="H10" s="169">
        <f>D5*D16</f>
        <v>200</v>
      </c>
    </row>
    <row r="11" spans="2:9">
      <c r="B11" s="157" t="s">
        <v>139</v>
      </c>
      <c r="C11" s="149" t="s">
        <v>125</v>
      </c>
      <c r="D11" s="120">
        <v>4</v>
      </c>
      <c r="F11" s="111" t="s">
        <v>12</v>
      </c>
      <c r="G11" s="152" t="s">
        <v>30</v>
      </c>
      <c r="H11" s="171">
        <f>H10*H7</f>
        <v>140000</v>
      </c>
      <c r="I11" s="121" t="s">
        <v>138</v>
      </c>
    </row>
    <row r="12" spans="2:9" ht="29.25" thickBot="1">
      <c r="B12" s="158"/>
      <c r="C12" s="154" t="s">
        <v>140</v>
      </c>
      <c r="D12" s="124">
        <v>9000</v>
      </c>
      <c r="F12" s="111" t="s">
        <v>12</v>
      </c>
      <c r="G12" s="152" t="s">
        <v>115</v>
      </c>
      <c r="H12" s="169">
        <f>D5*D17</f>
        <v>4000</v>
      </c>
    </row>
    <row r="13" spans="2:9" ht="29.25" thickBot="1">
      <c r="F13" s="111" t="s">
        <v>12</v>
      </c>
      <c r="G13" s="152" t="s">
        <v>116</v>
      </c>
      <c r="H13" s="169">
        <f>H12*D18</f>
        <v>600</v>
      </c>
    </row>
    <row r="14" spans="2:9" ht="30" customHeight="1" thickBot="1">
      <c r="C14" s="125" t="s">
        <v>163</v>
      </c>
      <c r="D14" s="126" t="s">
        <v>3</v>
      </c>
      <c r="F14" s="111" t="s">
        <v>12</v>
      </c>
      <c r="G14" s="162" t="s">
        <v>39</v>
      </c>
      <c r="H14" s="172">
        <f>(H13*D7)*H7</f>
        <v>126000</v>
      </c>
      <c r="I14" s="112"/>
    </row>
    <row r="15" spans="2:9" ht="42.75">
      <c r="B15" s="119" t="s">
        <v>133</v>
      </c>
      <c r="C15" s="127" t="s">
        <v>141</v>
      </c>
      <c r="D15" s="128">
        <v>7.0000000000000007E-2</v>
      </c>
      <c r="F15" s="111" t="s">
        <v>12</v>
      </c>
      <c r="G15" s="152" t="s">
        <v>146</v>
      </c>
      <c r="H15" s="172">
        <f>H14-(H14/D19)</f>
        <v>105000</v>
      </c>
      <c r="I15" s="112"/>
    </row>
    <row r="16" spans="2:9">
      <c r="B16" s="129"/>
      <c r="C16" s="130" t="s">
        <v>145</v>
      </c>
      <c r="D16" s="131">
        <v>0.02</v>
      </c>
      <c r="F16" s="111" t="s">
        <v>12</v>
      </c>
      <c r="G16" s="152" t="s">
        <v>142</v>
      </c>
      <c r="H16" s="171">
        <f>H14-H15</f>
        <v>21000</v>
      </c>
      <c r="I16" s="121" t="s">
        <v>138</v>
      </c>
    </row>
    <row r="17" spans="2:9" ht="28.5">
      <c r="B17" s="129"/>
      <c r="C17" s="114" t="s">
        <v>115</v>
      </c>
      <c r="D17" s="131">
        <v>0.4</v>
      </c>
      <c r="F17" s="111" t="s">
        <v>12</v>
      </c>
      <c r="G17" s="161" t="s">
        <v>147</v>
      </c>
      <c r="H17" s="169">
        <f>D5*D20</f>
        <v>8500</v>
      </c>
    </row>
    <row r="18" spans="2:9" ht="28.5">
      <c r="B18" s="129"/>
      <c r="C18" s="114" t="s">
        <v>116</v>
      </c>
      <c r="D18" s="131">
        <v>0.15</v>
      </c>
      <c r="F18" s="111" t="s">
        <v>12</v>
      </c>
      <c r="G18" s="161" t="s">
        <v>148</v>
      </c>
      <c r="H18" s="169">
        <f>D5*D21</f>
        <v>300</v>
      </c>
    </row>
    <row r="19" spans="2:9" ht="28.5">
      <c r="B19" s="129"/>
      <c r="C19" s="130" t="s">
        <v>143</v>
      </c>
      <c r="D19" s="132">
        <v>6</v>
      </c>
      <c r="F19" s="111" t="s">
        <v>12</v>
      </c>
      <c r="G19" s="152" t="s">
        <v>149</v>
      </c>
      <c r="H19" s="169">
        <f>D5*D22</f>
        <v>2500</v>
      </c>
    </row>
    <row r="20" spans="2:9" ht="28.5">
      <c r="B20" s="129"/>
      <c r="C20" s="114" t="s">
        <v>49</v>
      </c>
      <c r="D20" s="131">
        <v>0.85</v>
      </c>
      <c r="F20" s="111" t="s">
        <v>12</v>
      </c>
      <c r="G20" s="152" t="s">
        <v>55</v>
      </c>
      <c r="H20" s="171">
        <f>(H5/D22)*D23</f>
        <v>252000</v>
      </c>
      <c r="I20" s="121" t="s">
        <v>138</v>
      </c>
    </row>
    <row r="21" spans="2:9">
      <c r="B21" s="129"/>
      <c r="C21" s="133" t="s">
        <v>51</v>
      </c>
      <c r="D21" s="131">
        <v>0.03</v>
      </c>
      <c r="F21" s="111" t="s">
        <v>12</v>
      </c>
      <c r="G21" s="162" t="s">
        <v>119</v>
      </c>
      <c r="H21" s="169">
        <f>D24</f>
        <v>80</v>
      </c>
      <c r="I21" s="134"/>
    </row>
    <row r="22" spans="2:9" ht="29.25" thickBot="1">
      <c r="B22" s="122"/>
      <c r="C22" s="117" t="s">
        <v>53</v>
      </c>
      <c r="D22" s="135">
        <v>0.25</v>
      </c>
      <c r="F22" s="111" t="s">
        <v>12</v>
      </c>
      <c r="G22" s="162" t="s">
        <v>120</v>
      </c>
      <c r="H22" s="170">
        <f>H21*H7</f>
        <v>56000</v>
      </c>
      <c r="I22" s="116"/>
    </row>
    <row r="23" spans="2:9" ht="29.25" thickBot="1">
      <c r="B23" s="136" t="s">
        <v>137</v>
      </c>
      <c r="C23" s="137" t="s">
        <v>55</v>
      </c>
      <c r="D23" s="128">
        <v>0.03</v>
      </c>
      <c r="F23" s="111" t="s">
        <v>12</v>
      </c>
      <c r="G23" s="163" t="s">
        <v>121</v>
      </c>
      <c r="H23" s="173">
        <f>H22*12</f>
        <v>672000</v>
      </c>
      <c r="I23" s="121" t="s">
        <v>138</v>
      </c>
    </row>
    <row r="24" spans="2:9" ht="15.75" thickBot="1">
      <c r="B24" s="138"/>
      <c r="C24" s="139" t="s">
        <v>119</v>
      </c>
      <c r="D24" s="140">
        <v>80</v>
      </c>
      <c r="F24" s="141"/>
      <c r="G24" s="164"/>
      <c r="H24" s="174"/>
      <c r="I24" s="116"/>
    </row>
    <row r="25" spans="2:9" ht="28.5">
      <c r="B25" s="138"/>
      <c r="C25" s="142" t="s">
        <v>68</v>
      </c>
      <c r="D25" s="131">
        <v>0.8</v>
      </c>
      <c r="F25" s="109" t="s">
        <v>131</v>
      </c>
      <c r="G25" s="165" t="s">
        <v>162</v>
      </c>
      <c r="H25" s="175" t="s">
        <v>132</v>
      </c>
    </row>
    <row r="26" spans="2:9">
      <c r="B26" s="138"/>
      <c r="C26" s="143" t="s">
        <v>70</v>
      </c>
      <c r="D26" s="131">
        <v>0.4</v>
      </c>
      <c r="F26" s="111" t="s">
        <v>40</v>
      </c>
      <c r="G26" s="161" t="s">
        <v>122</v>
      </c>
      <c r="H26" s="169">
        <f>D9</f>
        <v>400</v>
      </c>
    </row>
    <row r="27" spans="2:9" ht="28.5">
      <c r="B27" s="138"/>
      <c r="C27" s="143" t="s">
        <v>71</v>
      </c>
      <c r="D27" s="131">
        <v>0.6</v>
      </c>
      <c r="F27" s="111" t="s">
        <v>40</v>
      </c>
      <c r="G27" s="152" t="s">
        <v>123</v>
      </c>
      <c r="H27" s="169">
        <f>D10</f>
        <v>2</v>
      </c>
    </row>
    <row r="28" spans="2:9" ht="28.5">
      <c r="B28" s="138"/>
      <c r="C28" s="143" t="s">
        <v>124</v>
      </c>
      <c r="D28" s="131">
        <v>0.25</v>
      </c>
      <c r="F28" s="111" t="s">
        <v>40</v>
      </c>
      <c r="G28" s="152" t="s">
        <v>150</v>
      </c>
      <c r="H28" s="169">
        <f>H26*D25</f>
        <v>320</v>
      </c>
    </row>
    <row r="29" spans="2:9" ht="28.5">
      <c r="B29" s="138"/>
      <c r="C29" s="142" t="s">
        <v>77</v>
      </c>
      <c r="D29" s="131">
        <v>0.4</v>
      </c>
      <c r="F29" s="111" t="s">
        <v>40</v>
      </c>
      <c r="G29" s="161" t="s">
        <v>151</v>
      </c>
      <c r="H29" s="169">
        <f>H28*D26</f>
        <v>128</v>
      </c>
    </row>
    <row r="30" spans="2:9" ht="28.5">
      <c r="B30" s="138"/>
      <c r="C30" s="142" t="s">
        <v>79</v>
      </c>
      <c r="D30" s="131">
        <v>0.03</v>
      </c>
      <c r="F30" s="111" t="s">
        <v>40</v>
      </c>
      <c r="G30" s="161" t="s">
        <v>152</v>
      </c>
      <c r="H30" s="169">
        <f>(H28*D27)-H31</f>
        <v>160</v>
      </c>
    </row>
    <row r="31" spans="2:9">
      <c r="B31" s="138"/>
      <c r="C31" s="142" t="s">
        <v>66</v>
      </c>
      <c r="D31" s="131">
        <v>1</v>
      </c>
      <c r="F31" s="111" t="s">
        <v>40</v>
      </c>
      <c r="G31" s="161" t="s">
        <v>153</v>
      </c>
      <c r="H31" s="169">
        <f>H29*D28</f>
        <v>32</v>
      </c>
    </row>
    <row r="32" spans="2:9" ht="29.25" thickBot="1">
      <c r="B32" s="144"/>
      <c r="C32" s="145" t="s">
        <v>128</v>
      </c>
      <c r="D32" s="135">
        <v>0.1</v>
      </c>
      <c r="F32" s="111" t="s">
        <v>40</v>
      </c>
      <c r="G32" s="152" t="s">
        <v>73</v>
      </c>
      <c r="H32" s="170">
        <f>(H31*H7)*D10</f>
        <v>44800</v>
      </c>
      <c r="I32" s="116"/>
    </row>
    <row r="33" spans="3:9" ht="28.5">
      <c r="F33" s="111" t="s">
        <v>40</v>
      </c>
      <c r="G33" s="166" t="s">
        <v>154</v>
      </c>
      <c r="H33" s="170">
        <f>H32/D19</f>
        <v>7466.666666666667</v>
      </c>
      <c r="I33" s="116"/>
    </row>
    <row r="34" spans="3:9" ht="28.5">
      <c r="F34" s="111" t="s">
        <v>40</v>
      </c>
      <c r="G34" s="152" t="s">
        <v>144</v>
      </c>
      <c r="H34" s="171">
        <f>H32-H33</f>
        <v>37333.333333333336</v>
      </c>
      <c r="I34" s="121" t="s">
        <v>138</v>
      </c>
    </row>
    <row r="35" spans="3:9">
      <c r="F35" s="111" t="s">
        <v>40</v>
      </c>
      <c r="G35" s="162" t="s">
        <v>77</v>
      </c>
      <c r="H35" s="169">
        <f>H30*D29</f>
        <v>64</v>
      </c>
    </row>
    <row r="36" spans="3:9" ht="28.5">
      <c r="F36" s="111" t="s">
        <v>40</v>
      </c>
      <c r="G36" s="152" t="s">
        <v>78</v>
      </c>
      <c r="H36" s="170">
        <f>(H35*H7)*D10</f>
        <v>89600</v>
      </c>
      <c r="I36" s="116"/>
    </row>
    <row r="37" spans="3:9" ht="19.5" customHeight="1">
      <c r="F37" s="111" t="s">
        <v>40</v>
      </c>
      <c r="G37" s="152" t="s">
        <v>155</v>
      </c>
      <c r="H37" s="171">
        <f>H36*D30</f>
        <v>2688</v>
      </c>
      <c r="I37" s="121" t="s">
        <v>138</v>
      </c>
    </row>
    <row r="38" spans="3:9">
      <c r="F38" s="111" t="s">
        <v>40</v>
      </c>
      <c r="G38" s="162" t="s">
        <v>125</v>
      </c>
      <c r="H38" s="169">
        <f>D11</f>
        <v>4</v>
      </c>
    </row>
    <row r="39" spans="3:9">
      <c r="F39" s="111" t="s">
        <v>40</v>
      </c>
      <c r="G39" s="162" t="s">
        <v>126</v>
      </c>
      <c r="H39" s="169">
        <v>160</v>
      </c>
    </row>
    <row r="40" spans="3:9" ht="28.5">
      <c r="F40" s="111" t="s">
        <v>40</v>
      </c>
      <c r="G40" s="152" t="s">
        <v>87</v>
      </c>
      <c r="H40" s="172">
        <f>D12/H39</f>
        <v>56.25</v>
      </c>
      <c r="I40" s="112"/>
    </row>
    <row r="41" spans="3:9">
      <c r="F41" s="111" t="s">
        <v>40</v>
      </c>
      <c r="G41" s="162" t="s">
        <v>128</v>
      </c>
      <c r="H41" s="169">
        <f>H38*H39</f>
        <v>640</v>
      </c>
    </row>
    <row r="42" spans="3:9" ht="42.75">
      <c r="F42" s="111" t="s">
        <v>40</v>
      </c>
      <c r="G42" s="152" t="s">
        <v>156</v>
      </c>
      <c r="H42" s="169">
        <f>H41*D32</f>
        <v>64</v>
      </c>
    </row>
    <row r="43" spans="3:9" ht="22.5" customHeight="1" thickBot="1">
      <c r="F43" s="111" t="s">
        <v>40</v>
      </c>
      <c r="G43" s="163" t="s">
        <v>88</v>
      </c>
      <c r="H43" s="173">
        <f>H42*H40</f>
        <v>3600</v>
      </c>
      <c r="I43" s="121" t="s">
        <v>138</v>
      </c>
    </row>
    <row r="44" spans="3:9">
      <c r="G44" s="176"/>
      <c r="H44" s="177"/>
    </row>
    <row r="45" spans="3:9" ht="15.75" thickBot="1">
      <c r="G45" s="176"/>
      <c r="H45" s="177"/>
    </row>
    <row r="46" spans="3:9" ht="34.5" customHeight="1">
      <c r="G46" s="165" t="s">
        <v>157</v>
      </c>
      <c r="H46" s="178" t="s">
        <v>168</v>
      </c>
    </row>
    <row r="47" spans="3:9" ht="24.75" customHeight="1">
      <c r="C47" s="146" t="s">
        <v>158</v>
      </c>
      <c r="G47" s="179" t="s">
        <v>167</v>
      </c>
      <c r="H47" s="180">
        <f>H9+H11+H16+H20+H23</f>
        <v>1575000</v>
      </c>
    </row>
    <row r="48" spans="3:9" ht="24.75" customHeight="1">
      <c r="C48" s="147"/>
      <c r="G48" s="181" t="s">
        <v>165</v>
      </c>
      <c r="H48" s="182">
        <f>(H34+H37+H43)*12</f>
        <v>523456</v>
      </c>
    </row>
    <row r="49" spans="7:8" ht="24.75" customHeight="1" thickBot="1">
      <c r="G49" s="183" t="s">
        <v>166</v>
      </c>
      <c r="H49" s="184">
        <f>H34+H37+H43</f>
        <v>43621.333333333336</v>
      </c>
    </row>
  </sheetData>
  <sheetProtection algorithmName="SHA-512" hashValue="WMwS9zF3QtZCj39Bqr3GZGWUgZjHDGSHBuIEOhxmiiTTlNjCigbmeFLgJNuJvNofPFjsFrqobWd+wL41/uK3vA==" saltValue="wHDsVgwAhsmQoPGjldmWTw==" spinCount="100000" sheet="1" objects="1" scenarios="1" selectLockedCells="1" autoFilter="0" pivotTables="0"/>
  <mergeCells count="6">
    <mergeCell ref="C47:C48"/>
    <mergeCell ref="B23:B32"/>
    <mergeCell ref="B5:B8"/>
    <mergeCell ref="B9:B10"/>
    <mergeCell ref="B11:B12"/>
    <mergeCell ref="B15:B22"/>
  </mergeCells>
  <pageMargins left="0.511811024" right="0.511811024" top="0.78740157499999996" bottom="0.78740157499999996" header="0.31496062000000002" footer="0.31496062000000002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e43181-5c5a-4a01-835d-fa5ce5865428">
      <Terms xmlns="http://schemas.microsoft.com/office/infopath/2007/PartnerControls"/>
    </lcf76f155ced4ddcb4097134ff3c332f>
    <TaxCatchAll xmlns="ee1fac02-df0b-4df7-8561-e7443813a64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2758119B39A1445B2DC7A9BDBFE81EB" ma:contentTypeVersion="15" ma:contentTypeDescription="Crie um novo documento." ma:contentTypeScope="" ma:versionID="44edf0328d41a94c0c7fd8451bc47226">
  <xsd:schema xmlns:xsd="http://www.w3.org/2001/XMLSchema" xmlns:xs="http://www.w3.org/2001/XMLSchema" xmlns:p="http://schemas.microsoft.com/office/2006/metadata/properties" xmlns:ns2="3fe43181-5c5a-4a01-835d-fa5ce5865428" xmlns:ns3="ee1fac02-df0b-4df7-8561-e7443813a64a" targetNamespace="http://schemas.microsoft.com/office/2006/metadata/properties" ma:root="true" ma:fieldsID="1665a122ea6c717ea507742f9e8672f8" ns2:_="" ns3:_="">
    <xsd:import namespace="3fe43181-5c5a-4a01-835d-fa5ce5865428"/>
    <xsd:import namespace="ee1fac02-df0b-4df7-8561-e7443813a6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e43181-5c5a-4a01-835d-fa5ce58654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1750fc7b-f415-459d-81d2-ceada13fd8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fac02-df0b-4df7-8561-e7443813a64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a5244f5-d1bc-4c88-b617-8a4de358bc51}" ma:internalName="TaxCatchAll" ma:showField="CatchAllData" ma:web="ee1fac02-df0b-4df7-8561-e7443813a6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4A62BE-F26C-4465-9EFC-40E2973246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6E2EA6-907E-4958-B247-347D8F919561}">
  <ds:schemaRefs>
    <ds:schemaRef ds:uri="http://purl.org/dc/dcmitype/"/>
    <ds:schemaRef ds:uri="ee1fac02-df0b-4df7-8561-e7443813a64a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3fe43181-5c5a-4a01-835d-fa5ce5865428"/>
    <ds:schemaRef ds:uri="http://schemas.microsoft.com/office/2006/metadata/properties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D8385BB-35F9-41E4-A215-6BDE6070E0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e43181-5c5a-4a01-835d-fa5ce5865428"/>
    <ds:schemaRef ds:uri="ee1fac02-df0b-4df7-8561-e7443813a6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CALCULADORA DE ROI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Ferreira</dc:creator>
  <cp:keywords/>
  <dc:description/>
  <cp:lastModifiedBy>Alexandre Siqueira CH Master Data</cp:lastModifiedBy>
  <cp:revision/>
  <dcterms:created xsi:type="dcterms:W3CDTF">2021-01-14T13:28:41Z</dcterms:created>
  <dcterms:modified xsi:type="dcterms:W3CDTF">2025-08-28T15:54:55Z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0x01010012758119B39A1445B2DC7A9BDBFE81EB</vt:lpwstr>
  </property>
</Properties>
</file>